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drawings/drawing10.xml" ContentType="application/vnd.openxmlformats-officedocument.drawing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drawings/drawing11.xml" ContentType="application/vnd.openxmlformats-officedocument.drawing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drawings/drawing12.xml" ContentType="application/vnd.openxmlformats-officedocument.drawing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drawings/drawing13.xml" ContentType="application/vnd.openxmlformats-officedocument.drawing+xml"/>
  <Override PartName="/xl/worksheets/sheet22.xml" ContentType="application/vnd.openxmlformats-officedocument.spreadsheetml.worksheet+xml"/>
  <Override PartName="/xl/drawings/drawing14.xml" ContentType="application/vnd.openxmlformats-officedocument.drawing+xml"/>
  <Override PartName="/xl/worksheets/sheet23.xml" ContentType="application/vnd.openxmlformats-officedocument.spreadsheetml.worksheet+xml"/>
  <Override PartName="/xl/drawings/drawing15.xml" ContentType="application/vnd.openxmlformats-officedocument.drawing+xml"/>
  <Override PartName="/xl/worksheets/sheet24.xml" ContentType="application/vnd.openxmlformats-officedocument.spreadsheetml.worksheet+xml"/>
  <Override PartName="/xl/comments24.xml" ContentType="application/vnd.openxmlformats-officedocument.spreadsheetml.comments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6605" windowHeight="9255" tabRatio="884" firstSheet="13" activeTab="13"/>
  </bookViews>
  <sheets>
    <sheet name="Спортсмены" sheetId="1" state="hidden" r:id="rId1"/>
    <sheet name=".." sheetId="2" state="hidden" r:id="rId2"/>
    <sheet name="КаякЖ-1п" sheetId="3" state="hidden" r:id="rId3"/>
    <sheet name="КаякЖ-2п" sheetId="4" state="hidden" r:id="rId4"/>
    <sheet name="КаякЖ-итог" sheetId="5" state="hidden" r:id="rId5"/>
    <sheet name="." sheetId="6" state="hidden" r:id="rId6"/>
    <sheet name="К2-Ж-1п" sheetId="7" state="hidden" r:id="rId7"/>
    <sheet name="К2-Ж-2п" sheetId="8" state="hidden" r:id="rId8"/>
    <sheet name="К2-Ж-итог" sheetId="9" state="hidden" r:id="rId9"/>
    <sheet name="," sheetId="10" state="hidden" r:id="rId10"/>
    <sheet name="К4-Ж-1п" sheetId="11" state="hidden" r:id="rId11"/>
    <sheet name="К4-Ж-2п" sheetId="12" state="hidden" r:id="rId12"/>
    <sheet name="К4-Ж-итог" sheetId="13" state="hidden" r:id="rId13"/>
    <sheet name="Р-СМ-1п" sheetId="14" r:id="rId14"/>
    <sheet name="Р-СМ-2п" sheetId="15" r:id="rId15"/>
    <sheet name="Р-СМ-итог" sheetId="16" r:id="rId16"/>
    <sheet name=",," sheetId="17" state="hidden" r:id="rId17"/>
    <sheet name="Р-Ж-1п" sheetId="18" state="hidden" r:id="rId18"/>
    <sheet name="Р-Ж-2п" sheetId="19" state="hidden" r:id="rId19"/>
    <sheet name="Р-Ж-итог" sheetId="20" state="hidden" r:id="rId20"/>
    <sheet name="Пример-ралли" sheetId="21" state="hidden" r:id="rId21"/>
    <sheet name="КаякМ-Китай" sheetId="22" state="hidden" r:id="rId22"/>
    <sheet name="КаякЖ-Китай" sheetId="23" state="hidden" r:id="rId23"/>
    <sheet name="Кат-Итог" sheetId="24" state="hidden" r:id="rId24"/>
  </sheets>
  <definedNames>
    <definedName name="_xlfn.IFERROR" hidden="1">#NAME?</definedName>
    <definedName name="вид_участия">#REF!</definedName>
    <definedName name="ВидДистанции" localSheetId="9">','!$O$2</definedName>
    <definedName name="ВидДистанции" localSheetId="16">',,'!$O$2</definedName>
    <definedName name="ВидДистанции" localSheetId="5">'.'!$O$2</definedName>
    <definedName name="ВидДистанции" localSheetId="1">'..'!$O$2</definedName>
    <definedName name="ВидДистанции" localSheetId="8">'К2-Ж-итог'!$O$2</definedName>
    <definedName name="ВидДистанции" localSheetId="12">'К4-Ж-итог'!$O$2</definedName>
    <definedName name="ВидДистанции" localSheetId="23">'Кат-Итог'!$P$2</definedName>
    <definedName name="ВидДистанции" localSheetId="4">'КаякЖ-итог'!$O$2</definedName>
    <definedName name="ВидДистанции" localSheetId="20">'Пример-ралли'!$AH$10</definedName>
    <definedName name="ВидДистанции" localSheetId="19">'Р-Ж-итог'!$O$2</definedName>
    <definedName name="ВидДистанции" localSheetId="15">'Р-СМ-итог'!#REF!</definedName>
    <definedName name="дата_протокол">#REF!</definedName>
    <definedName name="дата_старт">#REF!</definedName>
    <definedName name="дистанцииБаллы">#REF!</definedName>
    <definedName name="дисциплины">#REF!</definedName>
    <definedName name="ЗанятоеМесто">#REF!</definedName>
    <definedName name="КВ" localSheetId="20">'Пример-ралли'!$AO$4</definedName>
    <definedName name="норматив">#REF!</definedName>
    <definedName name="_xlnm.Print_Area" localSheetId="9">','!$A$1:$L$25</definedName>
    <definedName name="_xlnm.Print_Area" localSheetId="16">',,'!$A$1:$L$25</definedName>
    <definedName name="_xlnm.Print_Area" localSheetId="5">'.'!$A$1:$L$25</definedName>
    <definedName name="_xlnm.Print_Area" localSheetId="1">'..'!$A$1:$L$25</definedName>
    <definedName name="_xlnm.Print_Area" localSheetId="6">'К2-Ж-1п'!$B$1:$AE$26</definedName>
    <definedName name="_xlnm.Print_Area" localSheetId="7">'К2-Ж-2п'!$B$1:$AE$26</definedName>
    <definedName name="_xlnm.Print_Area" localSheetId="8">'К2-Ж-итог'!$A$1:$L$25</definedName>
    <definedName name="_xlnm.Print_Area" localSheetId="10">'К4-Ж-1п'!$B$1:$AE$26</definedName>
    <definedName name="_xlnm.Print_Area" localSheetId="11">'К4-Ж-2п'!$B$1:$AE$26</definedName>
    <definedName name="_xlnm.Print_Area" localSheetId="12">'К4-Ж-итог'!$A$1:$L$25</definedName>
    <definedName name="_xlnm.Print_Area" localSheetId="23">'Кат-Итог'!$A$1:$L$35</definedName>
    <definedName name="_xlnm.Print_Area" localSheetId="2">'КаякЖ-1п'!$B$1:$AE$26</definedName>
    <definedName name="_xlnm.Print_Area" localSheetId="3">'КаякЖ-2п'!$B$1:$AE$26</definedName>
    <definedName name="_xlnm.Print_Area" localSheetId="4">'КаякЖ-итог'!$A$1:$L$25</definedName>
    <definedName name="_xlnm.Print_Area" localSheetId="20">'Пример-ралли'!$A$1:$L$24</definedName>
    <definedName name="_xlnm.Print_Area" localSheetId="17">'Р-Ж-1п'!$B$1:$AE$26</definedName>
    <definedName name="_xlnm.Print_Area" localSheetId="18">'Р-Ж-2п'!$B$1:$AE$26</definedName>
    <definedName name="_xlnm.Print_Area" localSheetId="19">'Р-Ж-итог'!$A$1:$L$25</definedName>
    <definedName name="_xlnm.Print_Area" localSheetId="13">'Р-СМ-1п'!$B$1:$AE$14</definedName>
    <definedName name="_xlnm.Print_Area" localSheetId="14">'Р-СМ-2п'!$B$1:$AE$14</definedName>
    <definedName name="_xlnm.Print_Area" localSheetId="15">'Р-СМ-итог'!$A$1:$L$23</definedName>
    <definedName name="разряд">#REF!</definedName>
    <definedName name="разряды">#REF!</definedName>
    <definedName name="ранг" localSheetId="9">','!$O$7</definedName>
    <definedName name="ранг" localSheetId="16">',,'!$O$7</definedName>
    <definedName name="ранг" localSheetId="5">'.'!$O$7</definedName>
    <definedName name="ранг" localSheetId="1">'..'!$O$7</definedName>
    <definedName name="ранг" localSheetId="8">'К2-Ж-итог'!$O$7</definedName>
    <definedName name="ранг" localSheetId="12">'К4-Ж-итог'!$O$7</definedName>
    <definedName name="ранг" localSheetId="4">'КаякЖ-итог'!$O$7</definedName>
    <definedName name="ранг" localSheetId="20">'Пример-ралли'!$AH$6</definedName>
    <definedName name="ранг" localSheetId="19">'Р-Ж-итог'!$O$7</definedName>
    <definedName name="ранг" localSheetId="15">'Р-СМ-итог'!#REF!</definedName>
    <definedName name="РангСоревнований">#REF!</definedName>
    <definedName name="с_вид_участия" localSheetId="9">','!$O$5</definedName>
    <definedName name="с_вид_участия" localSheetId="16">',,'!$O$5</definedName>
    <definedName name="с_вид_участия" localSheetId="5">'.'!$O$5</definedName>
    <definedName name="с_вид_участия" localSheetId="1">'..'!$O$5</definedName>
    <definedName name="с_вид_участия" localSheetId="8">'К2-Ж-итог'!$O$5</definedName>
    <definedName name="с_вид_участия" localSheetId="12">'К4-Ж-итог'!$O$5</definedName>
    <definedName name="с_вид_участия" localSheetId="23">'Кат-Итог'!$P$5</definedName>
    <definedName name="с_вид_участия" localSheetId="4">'КаякЖ-итог'!$O$5</definedName>
    <definedName name="с_вид_участия" localSheetId="20">'Пример-ралли'!$AH$4</definedName>
    <definedName name="с_вид_участия" localSheetId="19">'Р-Ж-итог'!$O$5</definedName>
    <definedName name="с_вид_участия" localSheetId="15">'Р-СМ-итог'!#REF!</definedName>
    <definedName name="с_спортсмены_фио">OFFSET('Спортсмены'!$A$2,,,COUNTA('Спортсмены'!$A:$A))</definedName>
    <definedName name="т_вид_участия">#REF!</definedName>
    <definedName name="т_время_победителя">#REF!</definedName>
    <definedName name="т_класс_дистанции">#REF!</definedName>
    <definedName name="т_пол">#REF!</definedName>
    <definedName name="ТаблицаБаллов">#REF!</definedName>
    <definedName name="фиосекретарь">#REF!</definedName>
    <definedName name="фиосудья">#REF!</definedName>
    <definedName name="ЦенаБалла">#REF!</definedName>
    <definedName name="ЦенаБаллаОКВ">#REF!</definedName>
    <definedName name="штраф_КВ" localSheetId="20">'Пример-ралли'!$AO$6</definedName>
  </definedNames>
  <calcPr fullCalcOnLoad="1"/>
</workbook>
</file>

<file path=xl/comments11.xml><?xml version="1.0" encoding="utf-8"?>
<comments xmlns="http://schemas.openxmlformats.org/spreadsheetml/2006/main">
  <authors>
    <author>Игорь</author>
  </authors>
  <commentList>
    <comment ref="A11" authorId="0">
      <text>
        <r>
          <rPr>
            <b/>
            <sz val="9"/>
            <rFont val="Tahoma"/>
            <family val="2"/>
          </rPr>
          <t>Сюда обязательно вставляется номер участника из вкладки "Допуск"</t>
        </r>
      </text>
    </comment>
  </commentList>
</comments>
</file>

<file path=xl/comments12.xml><?xml version="1.0" encoding="utf-8"?>
<comments xmlns="http://schemas.openxmlformats.org/spreadsheetml/2006/main">
  <authors>
    <author>Игорь</author>
  </authors>
  <commentList>
    <comment ref="A11" authorId="0">
      <text>
        <r>
          <rPr>
            <b/>
            <sz val="9"/>
            <rFont val="Tahoma"/>
            <family val="2"/>
          </rPr>
          <t>Сюда обязательно вставляется номер участника из вкладки "Допуск"</t>
        </r>
      </text>
    </comment>
  </commentList>
</comments>
</file>

<file path=xl/comments13.xml><?xml version="1.0" encoding="utf-8"?>
<comments xmlns="http://schemas.openxmlformats.org/spreadsheetml/2006/main">
  <authors>
    <author>admin</author>
  </authors>
  <commentList>
    <comment ref="O2" authorId="0">
      <text>
        <r>
          <rPr>
            <b/>
            <sz val="9"/>
            <rFont val="Tahoma"/>
            <family val="2"/>
          </rPr>
          <t>От значения этой ячейки зависит метод расчета колонки "Итог в баллах"</t>
        </r>
      </text>
    </comment>
    <comment ref="O5" authorId="0">
      <text>
        <r>
          <rPr>
            <b/>
            <sz val="9"/>
            <rFont val="Tahoma"/>
            <family val="2"/>
          </rPr>
          <t>Значение в этой ячейке влияет на расчет ранга дистанции и процентовки разрядов</t>
        </r>
      </text>
    </comment>
    <comment ref="G11" authorId="0">
      <text>
        <r>
          <rPr>
            <b/>
            <sz val="8"/>
            <rFont val="Tahoma"/>
            <family val="2"/>
          </rPr>
          <t>при равных результатах по итоговому времени высшее место отдается команде с меньшией суммой штрафов по двум попыткам</t>
        </r>
      </text>
    </comment>
  </commentList>
</comments>
</file>

<file path=xl/comments14.xml><?xml version="1.0" encoding="utf-8"?>
<comments xmlns="http://schemas.openxmlformats.org/spreadsheetml/2006/main">
  <authors>
    <author>Игорь</author>
  </authors>
  <commentList>
    <comment ref="A11" authorId="0">
      <text>
        <r>
          <rPr>
            <b/>
            <sz val="9"/>
            <rFont val="Tahoma"/>
            <family val="2"/>
          </rPr>
          <t>Сюда обязательно вставляется номер участника из вкладки "Допуск"</t>
        </r>
      </text>
    </comment>
  </commentList>
</comments>
</file>

<file path=xl/comments15.xml><?xml version="1.0" encoding="utf-8"?>
<comments xmlns="http://schemas.openxmlformats.org/spreadsheetml/2006/main">
  <authors>
    <author>Игорь</author>
  </authors>
  <commentList>
    <comment ref="A11" authorId="0">
      <text>
        <r>
          <rPr>
            <b/>
            <sz val="9"/>
            <rFont val="Tahoma"/>
            <family val="2"/>
          </rPr>
          <t>Сюда обязательно вставляется номер участника из вкладки "Допуск"</t>
        </r>
      </text>
    </comment>
  </commentList>
</comments>
</file>

<file path=xl/comments16.xml><?xml version="1.0" encoding="utf-8"?>
<comments xmlns="http://schemas.openxmlformats.org/spreadsheetml/2006/main">
  <authors>
    <author>admin</author>
  </authors>
  <commentList>
    <comment ref="G11" authorId="0">
      <text>
        <r>
          <rPr>
            <b/>
            <sz val="8"/>
            <rFont val="Tahoma"/>
            <family val="2"/>
          </rPr>
          <t>при равных результатах по итоговому времени высшее место отдается команде с меньшией суммой штрафов по двум попыткам</t>
        </r>
      </text>
    </comment>
  </commentList>
</comments>
</file>

<file path=xl/comments18.xml><?xml version="1.0" encoding="utf-8"?>
<comments xmlns="http://schemas.openxmlformats.org/spreadsheetml/2006/main">
  <authors>
    <author>Игорь</author>
  </authors>
  <commentList>
    <comment ref="A11" authorId="0">
      <text>
        <r>
          <rPr>
            <b/>
            <sz val="9"/>
            <rFont val="Tahoma"/>
            <family val="2"/>
          </rPr>
          <t>Сюда обязательно вставляется номер участника из вкладки "Допуск"</t>
        </r>
      </text>
    </comment>
  </commentList>
</comments>
</file>

<file path=xl/comments19.xml><?xml version="1.0" encoding="utf-8"?>
<comments xmlns="http://schemas.openxmlformats.org/spreadsheetml/2006/main">
  <authors>
    <author>Игорь</author>
  </authors>
  <commentList>
    <comment ref="A11" authorId="0">
      <text>
        <r>
          <rPr>
            <b/>
            <sz val="9"/>
            <rFont val="Tahoma"/>
            <family val="2"/>
          </rPr>
          <t>Сюда обязательно вставляется номер участника из вкладки "Допуск"</t>
        </r>
      </text>
    </comment>
  </commentList>
</comments>
</file>

<file path=xl/comments20.xml><?xml version="1.0" encoding="utf-8"?>
<comments xmlns="http://schemas.openxmlformats.org/spreadsheetml/2006/main">
  <authors>
    <author>admin</author>
  </authors>
  <commentList>
    <comment ref="O2" authorId="0">
      <text>
        <r>
          <rPr>
            <b/>
            <sz val="9"/>
            <rFont val="Tahoma"/>
            <family val="2"/>
          </rPr>
          <t>От значения этой ячейки зависит метод расчета колонки "Итог в баллах"</t>
        </r>
      </text>
    </comment>
    <comment ref="O5" authorId="0">
      <text>
        <r>
          <rPr>
            <b/>
            <sz val="9"/>
            <rFont val="Tahoma"/>
            <family val="2"/>
          </rPr>
          <t>Значение в этой ячейке влияет на расчет ранга дистанции и процентовки разрядов</t>
        </r>
      </text>
    </comment>
    <comment ref="G11" authorId="0">
      <text>
        <r>
          <rPr>
            <b/>
            <sz val="8"/>
            <rFont val="Tahoma"/>
            <family val="2"/>
          </rPr>
          <t>при равных результатах по итоговому времени высшее место отдается команде с меньшией суммой штрафов по двум попыткам</t>
        </r>
      </text>
    </comment>
  </commentList>
</comments>
</file>

<file path=xl/comments21.xml><?xml version="1.0" encoding="utf-8"?>
<comments xmlns="http://schemas.openxmlformats.org/spreadsheetml/2006/main">
  <authors>
    <author>admin</author>
  </authors>
  <commentList>
    <comment ref="AH10" authorId="0">
      <text>
        <r>
          <rPr>
            <b/>
            <sz val="9"/>
            <rFont val="Tahoma"/>
            <family val="2"/>
          </rPr>
          <t>От значения этой ячейки зависит метод расчета колонки "Итог в баллах"</t>
        </r>
      </text>
    </comment>
    <comment ref="AH4" authorId="0">
      <text>
        <r>
          <rPr>
            <b/>
            <sz val="9"/>
            <rFont val="Tahoma"/>
            <family val="2"/>
          </rPr>
          <t>Значение в этой ячейке влияет на расчет ранга дистанции и процентовки разрядов</t>
        </r>
      </text>
    </comment>
    <comment ref="Z10" authorId="0">
      <text>
        <r>
          <rPr>
            <b/>
            <sz val="8"/>
            <rFont val="Tahoma"/>
            <family val="2"/>
          </rPr>
          <t>при равных результатах по времени высшее место отдается команде с меньшим числом штрафов.</t>
        </r>
      </text>
    </comment>
  </commentList>
</comments>
</file>

<file path=xl/comments24.xml><?xml version="1.0" encoding="utf-8"?>
<comments xmlns="http://schemas.openxmlformats.org/spreadsheetml/2006/main">
  <authors>
    <author>admin</author>
  </authors>
  <commentList>
    <comment ref="P2" authorId="0">
      <text>
        <r>
          <rPr>
            <b/>
            <sz val="9"/>
            <rFont val="Tahoma"/>
            <family val="2"/>
          </rPr>
          <t>От значения этой ячейки зависит метод расчета колонки "Итог в баллах"</t>
        </r>
      </text>
    </comment>
    <comment ref="P5" authorId="0">
      <text>
        <r>
          <rPr>
            <b/>
            <sz val="9"/>
            <rFont val="Tahoma"/>
            <family val="2"/>
          </rPr>
          <t>Значение в этой ячейке влияет на расчет ранга дистанции и процентовки разрядов</t>
        </r>
      </text>
    </comment>
    <comment ref="H11" authorId="0">
      <text>
        <r>
          <rPr>
            <b/>
            <sz val="8"/>
            <rFont val="Tahoma"/>
            <family val="2"/>
          </rPr>
          <t>При равной сумме баллов у команд, высшее место отдается тем, у кого больше баллов в Ралли.</t>
        </r>
      </text>
    </comment>
    <comment ref="N11" authorId="0">
      <text>
        <r>
          <rPr>
            <b/>
            <sz val="8"/>
            <rFont val="Tahoma"/>
            <family val="2"/>
          </rPr>
          <t>при равных результатах по итоговому времени высшее место отдается команде с меньшией суммой штрафов по двум попыткам. Но результаты надо тчательно проверять!!!</t>
        </r>
      </text>
    </comment>
  </commentList>
</comments>
</file>

<file path=xl/comments3.xml><?xml version="1.0" encoding="utf-8"?>
<comments xmlns="http://schemas.openxmlformats.org/spreadsheetml/2006/main">
  <authors>
    <author>Игорь</author>
  </authors>
  <commentList>
    <comment ref="A11" authorId="0">
      <text>
        <r>
          <rPr>
            <b/>
            <sz val="9"/>
            <rFont val="Tahoma"/>
            <family val="2"/>
          </rPr>
          <t>Сюда обязательно вставляется номер участника из вкладки "Допуск"</t>
        </r>
      </text>
    </comment>
  </commentList>
</comments>
</file>

<file path=xl/comments4.xml><?xml version="1.0" encoding="utf-8"?>
<comments xmlns="http://schemas.openxmlformats.org/spreadsheetml/2006/main">
  <authors>
    <author>Игорь</author>
  </authors>
  <commentList>
    <comment ref="A11" authorId="0">
      <text>
        <r>
          <rPr>
            <b/>
            <sz val="9"/>
            <rFont val="Tahoma"/>
            <family val="2"/>
          </rPr>
          <t>Сюда обязательно вставляется номер участника из вкладки "Допуск"</t>
        </r>
      </text>
    </comment>
  </commentList>
</comments>
</file>

<file path=xl/comments5.xml><?xml version="1.0" encoding="utf-8"?>
<comments xmlns="http://schemas.openxmlformats.org/spreadsheetml/2006/main">
  <authors>
    <author>admin</author>
  </authors>
  <commentList>
    <comment ref="O2" authorId="0">
      <text>
        <r>
          <rPr>
            <b/>
            <sz val="9"/>
            <rFont val="Tahoma"/>
            <family val="2"/>
          </rPr>
          <t>От значения этой ячейки зависит метод расчета колонки "Итог в баллах"</t>
        </r>
      </text>
    </comment>
    <comment ref="O5" authorId="0">
      <text>
        <r>
          <rPr>
            <b/>
            <sz val="9"/>
            <rFont val="Tahoma"/>
            <family val="2"/>
          </rPr>
          <t>Значение в этой ячейке влияет на расчет ранга дистанции и процентовки разрядов</t>
        </r>
      </text>
    </comment>
    <comment ref="G11" authorId="0">
      <text>
        <r>
          <rPr>
            <b/>
            <sz val="8"/>
            <rFont val="Tahoma"/>
            <family val="2"/>
          </rPr>
          <t>при равных результатах по итоговому времени высшее место отдается команде с меньшией суммой штрафов по двум попыткам</t>
        </r>
      </text>
    </comment>
  </commentList>
</comments>
</file>

<file path=xl/comments7.xml><?xml version="1.0" encoding="utf-8"?>
<comments xmlns="http://schemas.openxmlformats.org/spreadsheetml/2006/main">
  <authors>
    <author>Игорь</author>
  </authors>
  <commentList>
    <comment ref="A11" authorId="0">
      <text>
        <r>
          <rPr>
            <b/>
            <sz val="9"/>
            <rFont val="Tahoma"/>
            <family val="2"/>
          </rPr>
          <t>Сюда обязательно вставляется номер участника из вкладки "Допуск"</t>
        </r>
      </text>
    </comment>
  </commentList>
</comments>
</file>

<file path=xl/comments8.xml><?xml version="1.0" encoding="utf-8"?>
<comments xmlns="http://schemas.openxmlformats.org/spreadsheetml/2006/main">
  <authors>
    <author>Игорь</author>
  </authors>
  <commentList>
    <comment ref="A11" authorId="0">
      <text>
        <r>
          <rPr>
            <b/>
            <sz val="9"/>
            <rFont val="Tahoma"/>
            <family val="2"/>
          </rPr>
          <t>Сюда обязательно вставляется номер участника из вкладки "Допуск"</t>
        </r>
      </text>
    </comment>
  </commentList>
</comments>
</file>

<file path=xl/comments9.xml><?xml version="1.0" encoding="utf-8"?>
<comments xmlns="http://schemas.openxmlformats.org/spreadsheetml/2006/main">
  <authors>
    <author>admin</author>
  </authors>
  <commentList>
    <comment ref="O2" authorId="0">
      <text>
        <r>
          <rPr>
            <b/>
            <sz val="9"/>
            <rFont val="Tahoma"/>
            <family val="2"/>
          </rPr>
          <t>От значения этой ячейки зависит метод расчета колонки "Итог в баллах"</t>
        </r>
      </text>
    </comment>
    <comment ref="O5" authorId="0">
      <text>
        <r>
          <rPr>
            <b/>
            <sz val="9"/>
            <rFont val="Tahoma"/>
            <family val="2"/>
          </rPr>
          <t>Значение в этой ячейке влияет на расчет ранга дистанции и процентовки разрядов</t>
        </r>
      </text>
    </comment>
    <comment ref="G11" authorId="0">
      <text>
        <r>
          <rPr>
            <b/>
            <sz val="8"/>
            <rFont val="Tahoma"/>
            <family val="2"/>
          </rPr>
          <t>при равных результатах по итоговому времени высшее место отдается команде с меньшией суммой штрафов по двум попыткам</t>
        </r>
      </text>
    </comment>
  </commentList>
</comments>
</file>

<file path=xl/sharedStrings.xml><?xml version="1.0" encoding="utf-8"?>
<sst xmlns="http://schemas.openxmlformats.org/spreadsheetml/2006/main" count="977" uniqueCount="210">
  <si>
    <t>Место</t>
  </si>
  <si>
    <t>Ранг соревнований</t>
  </si>
  <si>
    <t>Дисциплина</t>
  </si>
  <si>
    <t xml:space="preserve">Вид программы </t>
  </si>
  <si>
    <t>Класс дистанции</t>
  </si>
  <si>
    <t>Ранг дистанции</t>
  </si>
  <si>
    <t>Главный секретарь</t>
  </si>
  <si>
    <t>Главный судья</t>
  </si>
  <si>
    <t>Вып. норматив</t>
  </si>
  <si>
    <t>Баллы</t>
  </si>
  <si>
    <t>Пол</t>
  </si>
  <si>
    <t>1 разряд</t>
  </si>
  <si>
    <t>2 разряд</t>
  </si>
  <si>
    <t>3 разряд</t>
  </si>
  <si>
    <t>Зайцев Иван</t>
  </si>
  <si>
    <t>4</t>
  </si>
  <si>
    <t>2</t>
  </si>
  <si>
    <t>1</t>
  </si>
  <si>
    <t>13</t>
  </si>
  <si>
    <t>3</t>
  </si>
  <si>
    <t>6</t>
  </si>
  <si>
    <t>9</t>
  </si>
  <si>
    <t>15</t>
  </si>
  <si>
    <t>16</t>
  </si>
  <si>
    <t>17</t>
  </si>
  <si>
    <t>12</t>
  </si>
  <si>
    <t>7</t>
  </si>
  <si>
    <t>11</t>
  </si>
  <si>
    <t>Примечание</t>
  </si>
  <si>
    <t>10</t>
  </si>
  <si>
    <t>5</t>
  </si>
  <si>
    <t>А.А. Панов</t>
  </si>
  <si>
    <t>Время</t>
  </si>
  <si>
    <t>№</t>
  </si>
  <si>
    <t>Итого штрафы</t>
  </si>
  <si>
    <t>Бонус</t>
  </si>
  <si>
    <t>Время финиша</t>
  </si>
  <si>
    <t>Время старта</t>
  </si>
  <si>
    <t>попытка</t>
  </si>
  <si>
    <t>№ старта</t>
  </si>
  <si>
    <t>Итоговое время</t>
  </si>
  <si>
    <t>Название команды</t>
  </si>
  <si>
    <t>СУДЕЙСКИЙ ПРОТОКОЛ</t>
  </si>
  <si>
    <t>ИТОГОВЫЙ СУДЕЙСКИЙ ПРОТОКОЛ</t>
  </si>
  <si>
    <t>Класс дистанции - 3</t>
  </si>
  <si>
    <t xml:space="preserve">%  к  рез-ту  1 места </t>
  </si>
  <si>
    <t>Итог в баллах</t>
  </si>
  <si>
    <t>Дистанция - водная - катамаран 2</t>
  </si>
  <si>
    <t>Дистанция - водная - катамаран 4</t>
  </si>
  <si>
    <t>Дистанция - водная - каяк</t>
  </si>
  <si>
    <t>Дистанция - водная - командная гонка</t>
  </si>
  <si>
    <t>I</t>
  </si>
  <si>
    <t>II</t>
  </si>
  <si>
    <t>III</t>
  </si>
  <si>
    <t>Короткая (связки)</t>
  </si>
  <si>
    <t>Личная</t>
  </si>
  <si>
    <t>Группа, командная гонка</t>
  </si>
  <si>
    <t>вид дистанции для нач.баллов</t>
  </si>
  <si>
    <t>б\р</t>
  </si>
  <si>
    <t>сумма баллов по разрядам</t>
  </si>
  <si>
    <t>мужчины</t>
  </si>
  <si>
    <t>женщины</t>
  </si>
  <si>
    <t>группа</t>
  </si>
  <si>
    <t>вид участия</t>
  </si>
  <si>
    <t>вспом</t>
  </si>
  <si>
    <t>ранг</t>
  </si>
  <si>
    <t>ФИО</t>
  </si>
  <si>
    <t>спортивный клуб</t>
  </si>
  <si>
    <t>дата присвоения разряда</t>
  </si>
  <si>
    <t>Артунькин Михаил Алексеевич</t>
  </si>
  <si>
    <t>Петрозаводск</t>
  </si>
  <si>
    <t>Щербин Максим</t>
  </si>
  <si>
    <t>Разряд, звание</t>
  </si>
  <si>
    <t>Город</t>
  </si>
  <si>
    <t>Дата рождения</t>
  </si>
  <si>
    <t>Мурунов Дмитрий</t>
  </si>
  <si>
    <t>Федоров Вячеслав Валерьевич</t>
  </si>
  <si>
    <t>Зимородо Юрий Анатольевич</t>
  </si>
  <si>
    <t>Добрачаев Андрей Вячеславович</t>
  </si>
  <si>
    <t>Ковтун Владимир Владимирович</t>
  </si>
  <si>
    <t>Матейкович Максим Станиславович</t>
  </si>
  <si>
    <t>Пюльзю Александр Викторович</t>
  </si>
  <si>
    <t>Волк Роман Валерьевич</t>
  </si>
  <si>
    <t>Трофимов Михаил Николаевич</t>
  </si>
  <si>
    <t>Полевой Алексей Владимирович</t>
  </si>
  <si>
    <t>Рулев Сергей Сергеевич</t>
  </si>
  <si>
    <t>Фофанова Анастасия Анатольевна</t>
  </si>
  <si>
    <t>Пестов Валериан Владимирович</t>
  </si>
  <si>
    <t>Пюльзю Михаил Викторович</t>
  </si>
  <si>
    <t>1р</t>
  </si>
  <si>
    <t>2р</t>
  </si>
  <si>
    <t>3р</t>
  </si>
  <si>
    <t>Итог</t>
  </si>
  <si>
    <t>(</t>
  </si>
  <si>
    <t>)</t>
  </si>
  <si>
    <t>тут всё из ФИО, что до открывающейся скобки</t>
  </si>
  <si>
    <t>тут все из ФИО, что в скобках</t>
  </si>
  <si>
    <t>Агафонов Виталий</t>
  </si>
  <si>
    <t>Алексеев Александр Вадимович</t>
  </si>
  <si>
    <t>Антюков Алексей Васильевич</t>
  </si>
  <si>
    <t>Антюков Артем Васильевич</t>
  </si>
  <si>
    <t>Бомбенков Владимир Александрович</t>
  </si>
  <si>
    <t>Борисов Иван Петрович</t>
  </si>
  <si>
    <t>Борисова Вера Петровна</t>
  </si>
  <si>
    <t>Бочков Павел Евгеньевич</t>
  </si>
  <si>
    <t>Вольячный Сергей Андреевич</t>
  </si>
  <si>
    <t>Гуськов С.В.</t>
  </si>
  <si>
    <t>Дроздюк Алекандр Александрович</t>
  </si>
  <si>
    <t>Завершинский Глеб Алексеевич</t>
  </si>
  <si>
    <t>Игнатьев Владимир А.</t>
  </si>
  <si>
    <t>Каляшов Роман Владимирович</t>
  </si>
  <si>
    <t>Каляшов Сергей Владимирович</t>
  </si>
  <si>
    <t>Кириленко Андрей Михайлович</t>
  </si>
  <si>
    <t>Кирпу Анатолий Сергеевич</t>
  </si>
  <si>
    <t>Комаров Дмитрий Игоревич</t>
  </si>
  <si>
    <t>Логинов Евгений Юрьевич</t>
  </si>
  <si>
    <t>Максимов Станислав Николаевич</t>
  </si>
  <si>
    <t>Мацола А.</t>
  </si>
  <si>
    <t>Мелехов Сергей Сергеевич</t>
  </si>
  <si>
    <t>Неркин Андрей Михайлович</t>
  </si>
  <si>
    <t>Плечов Федор Вадимович</t>
  </si>
  <si>
    <t>Стафеев Алексей Александрович</t>
  </si>
  <si>
    <t>Стафеева Наталья Юрьевна</t>
  </si>
  <si>
    <t>Строганов Валерий Викторович</t>
  </si>
  <si>
    <t>Строганов Виктор Геннадьевич</t>
  </si>
  <si>
    <t>Тарасов Антон Сергеевич</t>
  </si>
  <si>
    <t>Тухконен Александр Робертович</t>
  </si>
  <si>
    <t>Фокичев Игорь Петрович</t>
  </si>
  <si>
    <t>Чамурлиев Василий Гергадисович</t>
  </si>
  <si>
    <t>Шагиева Анна Валерьевна</t>
  </si>
  <si>
    <t>Шинакова Юлия Андреевна</t>
  </si>
  <si>
    <t>Юдаева Регина Геннадьевна</t>
  </si>
  <si>
    <t>м</t>
  </si>
  <si>
    <t>ж</t>
  </si>
  <si>
    <t>Каява Игорь Вильевич</t>
  </si>
  <si>
    <t>тк Сампо</t>
  </si>
  <si>
    <t>1 Этап</t>
  </si>
  <si>
    <t>2 Этап</t>
  </si>
  <si>
    <t>3 Этап</t>
  </si>
  <si>
    <t>ИТОГОВЫЙ СУДЕЙСКИЙ ПРОТОКОЛ, 1 попытка</t>
  </si>
  <si>
    <t>14</t>
  </si>
  <si>
    <t>8</t>
  </si>
  <si>
    <t>ИТОГОВЫЙ СУДЕЙСКИЙ ПРОТОКОЛ, 2 попытка</t>
  </si>
  <si>
    <t>1 попытка</t>
  </si>
  <si>
    <t>2 попытка</t>
  </si>
  <si>
    <t>Дистанция - командная гонка</t>
  </si>
  <si>
    <t>Сумма баллов</t>
  </si>
  <si>
    <t>Выпполн.
норматив</t>
  </si>
  <si>
    <t>класс дистанции</t>
  </si>
  <si>
    <t>Время на дистанции</t>
  </si>
  <si>
    <t>Итоговое время попытки</t>
  </si>
  <si>
    <t>Превышение КВ</t>
  </si>
  <si>
    <t>превыш.КВ</t>
  </si>
  <si>
    <t>контрольное время (КВ)</t>
  </si>
  <si>
    <t>№ допуска</t>
  </si>
  <si>
    <t>штраф за превышение КВ, баллов</t>
  </si>
  <si>
    <t>Короткая дистанция, баллы</t>
  </si>
  <si>
    <t>МИНИСТЕРСТВО ПО ДЕЛАМ МОЛОДЕЖИ, ФИЗКУЛЬТУРЕ и СПОРТУ РЕСПУБЛИКИ КАРЕЛИЯ
ФЕДЕРАЦИЯ СПОРТИВНОГО ТУРИЗМА РЕСПУБЛИКИ КАРЕЛИЯ</t>
  </si>
  <si>
    <r>
      <t xml:space="preserve">Нормативы выполнения разрядов, утвержденные приказом Минспорттуризма России от </t>
    </r>
    <r>
      <rPr>
        <sz val="10"/>
        <rFont val="Times New Roman"/>
        <family val="1"/>
      </rPr>
      <t>09 февраля 2010 г. № 95</t>
    </r>
  </si>
  <si>
    <r>
      <t>Нормативы выполнения разрядов, утвержденные приказом Минспорттуризма России о</t>
    </r>
    <r>
      <rPr>
        <sz val="10"/>
        <rFont val="Times New Roman"/>
        <family val="1"/>
      </rPr>
      <t>т 09 февраля 2010 г. № 95</t>
    </r>
  </si>
  <si>
    <t>РС</t>
  </si>
  <si>
    <t>СШИВ</t>
  </si>
  <si>
    <t>место2</t>
  </si>
  <si>
    <t>Н.В.Павлова</t>
  </si>
  <si>
    <t>Н.В. Павлова</t>
  </si>
  <si>
    <t xml:space="preserve">ИТОГОВЫЙ СУДЕЙСКИЙ ПРОТОКОЛ, </t>
  </si>
  <si>
    <t>пром.ранг</t>
  </si>
  <si>
    <t>Бонги</t>
  </si>
  <si>
    <t>Штрафы</t>
  </si>
  <si>
    <t>Дистанция короткая - "женщины - слалом"</t>
  </si>
  <si>
    <t>5 Этап</t>
  </si>
  <si>
    <t>Бонусы</t>
  </si>
  <si>
    <t>Бонусы, баллов</t>
  </si>
  <si>
    <t>Бонусы, сек</t>
  </si>
  <si>
    <t>Штрафы, баллов</t>
  </si>
  <si>
    <t>Штрафы, сек</t>
  </si>
  <si>
    <t>Красивый берег</t>
  </si>
  <si>
    <t>Медицина</t>
  </si>
  <si>
    <t>Большой Толли</t>
  </si>
  <si>
    <t>Итоги</t>
  </si>
  <si>
    <t>Баллов за этап</t>
  </si>
  <si>
    <t>Суммарное время</t>
  </si>
  <si>
    <t xml:space="preserve">Дистанция  - Каяк "мужчины - Китайская гонка" </t>
  </si>
  <si>
    <t xml:space="preserve">Дистанция  - Каяк "женщины - Китайская гонка" </t>
  </si>
  <si>
    <t>18</t>
  </si>
  <si>
    <t>4/1</t>
  </si>
  <si>
    <t>4/2</t>
  </si>
  <si>
    <t>4/3</t>
  </si>
  <si>
    <t>сумма отсечки</t>
  </si>
  <si>
    <t>отсечка</t>
  </si>
  <si>
    <t>Ралли, баллы</t>
  </si>
  <si>
    <t>Слалом - R6</t>
  </si>
  <si>
    <t>19</t>
  </si>
  <si>
    <t>20</t>
  </si>
  <si>
    <t>Штрафы на воротах</t>
  </si>
  <si>
    <t>РЕЗУЛЬТАТ ПО ЛУЧШЕЙ ПОПЫТКЕ!</t>
  </si>
  <si>
    <t>Дистанция длинная - "мужчины - ралли"</t>
  </si>
  <si>
    <t>Результаты</t>
  </si>
  <si>
    <t>КРПСС (спасатели)</t>
  </si>
  <si>
    <t>Помидоры</t>
  </si>
  <si>
    <t>РЦДЮТ 1</t>
  </si>
  <si>
    <t>Кабачки</t>
  </si>
  <si>
    <t>РЦДЮТ 3</t>
  </si>
  <si>
    <t>Огурцы</t>
  </si>
  <si>
    <t>РЦДЮТ 2</t>
  </si>
  <si>
    <t>Г.И.Степанова</t>
  </si>
  <si>
    <t>Открытый Чемпионат Республики Карелия по рафтингу 2018 год</t>
  </si>
  <si>
    <t>КРПСС</t>
  </si>
  <si>
    <t>МИНИСТЕРСТВО ПО ДЕЛАМ МОЛОДЕЖИ, ФИЗКУЛЬТУРЕ и СПОРТУ РЕСПУБЛИКИ КАРЕЛИЯ Карельское республиканское отделение Федерации рафтинга России</t>
  </si>
  <si>
    <t>МИНИСТЕРСТВО ПО ДЕЛАМ МОЛОДЕЖИ, ФИЗКУЛЬТУРЕ и СПОРТУ РЕСПУБЛИКИ КАРЕЛИЯ                                                             Карельское республиканское отделение Федерации рафтинга России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</si>
</sst>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400]h:mm:ss\ AM/PM"/>
    <numFmt numFmtId="165" formatCode="0.0"/>
    <numFmt numFmtId="166" formatCode="[$-F800]dddd\,\ mmmm\ dd\,\ yyyy"/>
    <numFmt numFmtId="167" formatCode="[$-FC19]d\ mmmm\ yyyy\ &quot;г.&quot;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Arial Cyr"/>
      <family val="0"/>
    </font>
    <font>
      <sz val="10"/>
      <name val="Arial"/>
      <family val="2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11"/>
      <name val="Times New Roman"/>
      <family val="1"/>
    </font>
    <font>
      <sz val="11"/>
      <color indexed="40"/>
      <name val="Times New Roman"/>
      <family val="1"/>
    </font>
    <font>
      <b/>
      <sz val="12"/>
      <color indexed="40"/>
      <name val="Times New Roman"/>
      <family val="1"/>
    </font>
    <font>
      <b/>
      <sz val="12"/>
      <color indexed="10"/>
      <name val="Times New Roman"/>
      <family val="1"/>
    </font>
    <font>
      <sz val="10"/>
      <color indexed="8"/>
      <name val="Arial"/>
      <family val="2"/>
    </font>
    <font>
      <b/>
      <sz val="8"/>
      <name val="Tahoma"/>
      <family val="2"/>
    </font>
    <font>
      <b/>
      <sz val="12"/>
      <color indexed="30"/>
      <name val="Times New Roman"/>
      <family val="1"/>
    </font>
    <font>
      <sz val="11"/>
      <color indexed="30"/>
      <name val="Times New Roman"/>
      <family val="1"/>
    </font>
    <font>
      <sz val="11"/>
      <name val="Calibri"/>
      <family val="2"/>
    </font>
    <font>
      <sz val="11"/>
      <color indexed="30"/>
      <name val="Calibri"/>
      <family val="2"/>
    </font>
    <font>
      <b/>
      <sz val="11"/>
      <name val="Calibri"/>
      <family val="2"/>
    </font>
    <font>
      <b/>
      <sz val="9"/>
      <name val="Tahoma"/>
      <family val="2"/>
    </font>
    <font>
      <sz val="10"/>
      <color indexed="3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1"/>
      <color indexed="3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rgb="FF00B0F0"/>
      <name val="Times New Roman"/>
      <family val="1"/>
    </font>
    <font>
      <b/>
      <sz val="12"/>
      <color rgb="FFFF0000"/>
      <name val="Times New Roman"/>
      <family val="1"/>
    </font>
    <font>
      <sz val="11"/>
      <color theme="1"/>
      <name val="Times New Roman"/>
      <family val="1"/>
    </font>
    <font>
      <sz val="11"/>
      <color rgb="FF0070C0"/>
      <name val="Times New Roman"/>
      <family val="1"/>
    </font>
    <font>
      <sz val="11"/>
      <color rgb="FF0070C0"/>
      <name val="Calibri"/>
      <family val="2"/>
    </font>
    <font>
      <sz val="11"/>
      <color rgb="FF00B0F0"/>
      <name val="Times New Roman"/>
      <family val="1"/>
    </font>
    <font>
      <sz val="10"/>
      <color rgb="FF0070C0"/>
      <name val="Arial Cyr"/>
      <family val="0"/>
    </font>
    <font>
      <b/>
      <sz val="11"/>
      <color rgb="FF0070C0"/>
      <name val="Calibri"/>
      <family val="2"/>
    </font>
    <font>
      <b/>
      <sz val="12"/>
      <color rgb="FF0070C0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thin"/>
      <right style="thin"/>
      <top/>
      <bottom style="thin">
        <color rgb="FF000000"/>
      </bottom>
    </border>
    <border>
      <left style="thin"/>
      <right/>
      <top/>
      <bottom style="thin">
        <color rgb="FF000000"/>
      </bottom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/>
      <top style="thin"/>
      <bottom style="thin"/>
    </border>
  </borders>
  <cellStyleXfs count="9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35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44" fontId="60" fillId="0" borderId="0" xfId="42" applyFont="1" applyBorder="1" applyAlignment="1">
      <alignment/>
    </xf>
    <xf numFmtId="0" fontId="60" fillId="0" borderId="0" xfId="0" applyFont="1" applyBorder="1" applyAlignment="1">
      <alignment/>
    </xf>
    <xf numFmtId="0" fontId="60" fillId="0" borderId="0" xfId="0" applyFont="1" applyBorder="1" applyAlignment="1">
      <alignment/>
    </xf>
    <xf numFmtId="0" fontId="5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5" fontId="0" fillId="0" borderId="10" xfId="0" applyNumberFormat="1" applyBorder="1" applyAlignment="1">
      <alignment/>
    </xf>
    <xf numFmtId="0" fontId="61" fillId="0" borderId="0" xfId="0" applyFont="1" applyBorder="1" applyAlignment="1" applyProtection="1">
      <alignment horizontal="left" vertical="center" wrapText="1"/>
      <protection locked="0"/>
    </xf>
    <xf numFmtId="0" fontId="62" fillId="0" borderId="0" xfId="0" applyFont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50" fillId="0" borderId="17" xfId="0" applyFont="1" applyBorder="1" applyAlignment="1">
      <alignment horizontal="center"/>
    </xf>
    <xf numFmtId="0" fontId="50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50" fillId="0" borderId="21" xfId="0" applyFont="1" applyBorder="1" applyAlignment="1">
      <alignment horizontal="center"/>
    </xf>
    <xf numFmtId="164" fontId="64" fillId="0" borderId="11" xfId="0" applyNumberFormat="1" applyFont="1" applyBorder="1" applyAlignment="1" applyProtection="1">
      <alignment horizontal="center"/>
      <protection locked="0"/>
    </xf>
    <xf numFmtId="0" fontId="64" fillId="0" borderId="11" xfId="0" applyNumberFormat="1" applyFont="1" applyBorder="1" applyAlignment="1" applyProtection="1">
      <alignment horizontal="center" vertical="center" wrapText="1"/>
      <protection locked="0"/>
    </xf>
    <xf numFmtId="0" fontId="64" fillId="0" borderId="11" xfId="0" applyNumberFormat="1" applyFont="1" applyBorder="1" applyAlignment="1" applyProtection="1">
      <alignment horizontal="center"/>
      <protection locked="0"/>
    </xf>
    <xf numFmtId="164" fontId="64" fillId="0" borderId="10" xfId="0" applyNumberFormat="1" applyFont="1" applyBorder="1" applyAlignment="1" applyProtection="1">
      <alignment horizontal="center" vertical="center" wrapText="1"/>
      <protection locked="0"/>
    </xf>
    <xf numFmtId="0" fontId="65" fillId="0" borderId="0" xfId="0" applyFont="1" applyAlignment="1">
      <alignment/>
    </xf>
    <xf numFmtId="0" fontId="65" fillId="0" borderId="0" xfId="0" applyFont="1" applyAlignment="1">
      <alignment horizontal="center"/>
    </xf>
    <xf numFmtId="0" fontId="21" fillId="0" borderId="21" xfId="0" applyFont="1" applyBorder="1" applyAlignment="1">
      <alignment/>
    </xf>
    <xf numFmtId="0" fontId="21" fillId="0" borderId="21" xfId="0" applyFont="1" applyBorder="1" applyAlignment="1">
      <alignment horizontal="center"/>
    </xf>
    <xf numFmtId="0" fontId="65" fillId="0" borderId="20" xfId="0" applyFont="1" applyBorder="1" applyAlignment="1" applyProtection="1">
      <alignment horizontal="center"/>
      <protection locked="0"/>
    </xf>
    <xf numFmtId="14" fontId="65" fillId="0" borderId="0" xfId="0" applyNumberFormat="1" applyFont="1" applyAlignment="1">
      <alignment horizontal="center"/>
    </xf>
    <xf numFmtId="0" fontId="65" fillId="0" borderId="0" xfId="0" applyFont="1" applyAlignment="1">
      <alignment horizontal="center"/>
    </xf>
    <xf numFmtId="0" fontId="65" fillId="0" borderId="0" xfId="0" applyFont="1" applyAlignment="1">
      <alignment/>
    </xf>
    <xf numFmtId="14" fontId="65" fillId="0" borderId="0" xfId="0" applyNumberFormat="1" applyFont="1" applyAlignment="1">
      <alignment horizontal="center"/>
    </xf>
    <xf numFmtId="0" fontId="65" fillId="0" borderId="0" xfId="0" applyFont="1" applyBorder="1" applyAlignment="1">
      <alignment/>
    </xf>
    <xf numFmtId="14" fontId="65" fillId="0" borderId="0" xfId="0" applyNumberFormat="1" applyFont="1" applyBorder="1" applyAlignment="1">
      <alignment horizontal="center"/>
    </xf>
    <xf numFmtId="0" fontId="65" fillId="0" borderId="0" xfId="0" applyFont="1" applyBorder="1" applyAlignment="1">
      <alignment horizontal="center"/>
    </xf>
    <xf numFmtId="2" fontId="0" fillId="0" borderId="10" xfId="0" applyNumberFormat="1" applyBorder="1" applyAlignment="1">
      <alignment/>
    </xf>
    <xf numFmtId="0" fontId="60" fillId="0" borderId="0" xfId="42" applyNumberFormat="1" applyFont="1" applyBorder="1" applyAlignment="1">
      <alignment horizontal="left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textRotation="90" wrapText="1"/>
    </xf>
    <xf numFmtId="164" fontId="11" fillId="0" borderId="11" xfId="0" applyNumberFormat="1" applyFont="1" applyBorder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0" fontId="50" fillId="0" borderId="23" xfId="0" applyFont="1" applyBorder="1" applyAlignment="1">
      <alignment horizontal="center"/>
    </xf>
    <xf numFmtId="0" fontId="50" fillId="0" borderId="24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50" fillId="0" borderId="21" xfId="0" applyFont="1" applyFill="1" applyBorder="1" applyAlignment="1">
      <alignment horizontal="center"/>
    </xf>
    <xf numFmtId="0" fontId="0" fillId="0" borderId="20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left"/>
    </xf>
    <xf numFmtId="0" fontId="3" fillId="0" borderId="13" xfId="0" applyNumberFormat="1" applyFont="1" applyBorder="1" applyAlignment="1">
      <alignment horizontal="left"/>
    </xf>
    <xf numFmtId="164" fontId="11" fillId="0" borderId="11" xfId="0" applyNumberFormat="1" applyFont="1" applyBorder="1" applyAlignment="1" applyProtection="1">
      <alignment horizontal="center"/>
      <protection locked="0"/>
    </xf>
    <xf numFmtId="0" fontId="50" fillId="0" borderId="20" xfId="0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11" fillId="0" borderId="11" xfId="0" applyNumberFormat="1" applyFont="1" applyBorder="1" applyAlignment="1" applyProtection="1">
      <alignment horizontal="center"/>
      <protection/>
    </xf>
    <xf numFmtId="0" fontId="11" fillId="0" borderId="13" xfId="0" applyNumberFormat="1" applyFont="1" applyBorder="1" applyAlignment="1" applyProtection="1">
      <alignment horizontal="center"/>
      <protection/>
    </xf>
    <xf numFmtId="165" fontId="11" fillId="0" borderId="11" xfId="0" applyNumberFormat="1" applyFont="1" applyBorder="1" applyAlignment="1" applyProtection="1">
      <alignment horizontal="center"/>
      <protection/>
    </xf>
    <xf numFmtId="0" fontId="64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0" xfId="0" applyFont="1" applyAlignment="1">
      <alignment/>
    </xf>
    <xf numFmtId="0" fontId="11" fillId="0" borderId="14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164" fontId="11" fillId="0" borderId="0" xfId="0" applyNumberFormat="1" applyFont="1" applyBorder="1" applyAlignment="1" applyProtection="1">
      <alignment horizontal="center"/>
      <protection/>
    </xf>
    <xf numFmtId="0" fontId="2" fillId="0" borderId="0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/>
    </xf>
    <xf numFmtId="165" fontId="11" fillId="0" borderId="13" xfId="0" applyNumberFormat="1" applyFont="1" applyBorder="1" applyAlignment="1" applyProtection="1">
      <alignment horizontal="center"/>
      <protection/>
    </xf>
    <xf numFmtId="1" fontId="11" fillId="0" borderId="11" xfId="0" applyNumberFormat="1" applyFont="1" applyBorder="1" applyAlignment="1" applyProtection="1">
      <alignment horizontal="center"/>
      <protection/>
    </xf>
    <xf numFmtId="0" fontId="0" fillId="0" borderId="0" xfId="0" applyNumberFormat="1" applyAlignment="1">
      <alignment/>
    </xf>
    <xf numFmtId="165" fontId="0" fillId="0" borderId="11" xfId="0" applyNumberFormat="1" applyBorder="1" applyAlignment="1">
      <alignment/>
    </xf>
    <xf numFmtId="2" fontId="0" fillId="0" borderId="14" xfId="0" applyNumberFormat="1" applyBorder="1" applyAlignment="1">
      <alignment/>
    </xf>
    <xf numFmtId="0" fontId="0" fillId="0" borderId="29" xfId="0" applyBorder="1" applyAlignment="1">
      <alignment/>
    </xf>
    <xf numFmtId="49" fontId="2" fillId="0" borderId="30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164" fontId="0" fillId="0" borderId="11" xfId="0" applyNumberFormat="1" applyBorder="1" applyAlignment="1">
      <alignment/>
    </xf>
    <xf numFmtId="49" fontId="2" fillId="0" borderId="31" xfId="0" applyNumberFormat="1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/>
    </xf>
    <xf numFmtId="164" fontId="64" fillId="0" borderId="13" xfId="0" applyNumberFormat="1" applyFont="1" applyBorder="1" applyAlignment="1" applyProtection="1">
      <alignment horizontal="center"/>
      <protection locked="0"/>
    </xf>
    <xf numFmtId="0" fontId="3" fillId="0" borderId="13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0" fontId="64" fillId="0" borderId="11" xfId="0" applyNumberFormat="1" applyFont="1" applyBorder="1" applyAlignment="1" applyProtection="1">
      <alignment horizontal="center"/>
      <protection locked="0"/>
    </xf>
    <xf numFmtId="164" fontId="64" fillId="0" borderId="11" xfId="0" applyNumberFormat="1" applyFont="1" applyBorder="1" applyAlignment="1" applyProtection="1">
      <alignment horizontal="center"/>
      <protection locked="0"/>
    </xf>
    <xf numFmtId="0" fontId="3" fillId="0" borderId="11" xfId="0" applyNumberFormat="1" applyFont="1" applyBorder="1" applyAlignment="1">
      <alignment horizontal="left"/>
    </xf>
    <xf numFmtId="0" fontId="2" fillId="0" borderId="11" xfId="0" applyNumberFormat="1" applyFont="1" applyBorder="1" applyAlignment="1">
      <alignment horizontal="center"/>
    </xf>
    <xf numFmtId="0" fontId="0" fillId="0" borderId="0" xfId="0" applyAlignment="1">
      <alignment/>
    </xf>
    <xf numFmtId="165" fontId="2" fillId="0" borderId="11" xfId="0" applyNumberFormat="1" applyFont="1" applyBorder="1" applyAlignment="1">
      <alignment horizontal="center"/>
    </xf>
    <xf numFmtId="164" fontId="65" fillId="0" borderId="20" xfId="0" applyNumberFormat="1" applyFont="1" applyBorder="1" applyAlignment="1" applyProtection="1">
      <alignment horizontal="center"/>
      <protection locked="0"/>
    </xf>
    <xf numFmtId="0" fontId="65" fillId="0" borderId="20" xfId="0" applyFont="1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164" fontId="64" fillId="0" borderId="11" xfId="0" applyNumberFormat="1" applyFont="1" applyFill="1" applyBorder="1" applyAlignment="1" applyProtection="1">
      <alignment horizontal="center"/>
      <protection locked="0"/>
    </xf>
    <xf numFmtId="164" fontId="2" fillId="0" borderId="10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2" fillId="0" borderId="32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6" fillId="0" borderId="11" xfId="0" applyFont="1" applyBorder="1" applyAlignment="1">
      <alignment horizontal="center"/>
    </xf>
    <xf numFmtId="0" fontId="11" fillId="0" borderId="0" xfId="0" applyFont="1" applyAlignment="1">
      <alignment/>
    </xf>
    <xf numFmtId="44" fontId="25" fillId="0" borderId="0" xfId="42" applyFont="1" applyBorder="1" applyAlignment="1">
      <alignment/>
    </xf>
    <xf numFmtId="0" fontId="25" fillId="0" borderId="0" xfId="0" applyFont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164" fontId="11" fillId="0" borderId="10" xfId="0" applyNumberFormat="1" applyFont="1" applyBorder="1" applyAlignment="1">
      <alignment horizontal="center" vertical="center" wrapText="1"/>
    </xf>
    <xf numFmtId="164" fontId="11" fillId="0" borderId="11" xfId="0" applyNumberFormat="1" applyFont="1" applyBorder="1" applyAlignment="1" applyProtection="1">
      <alignment horizontal="center"/>
      <protection locked="0"/>
    </xf>
    <xf numFmtId="49" fontId="2" fillId="0" borderId="11" xfId="0" applyNumberFormat="1" applyFont="1" applyBorder="1" applyAlignment="1">
      <alignment horizontal="center" vertical="center" wrapText="1"/>
    </xf>
    <xf numFmtId="0" fontId="64" fillId="0" borderId="22" xfId="0" applyFont="1" applyBorder="1" applyAlignment="1">
      <alignment horizontal="center" vertical="center" wrapText="1"/>
    </xf>
    <xf numFmtId="164" fontId="2" fillId="0" borderId="11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0" applyNumberFormat="1" applyFont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/>
    </xf>
    <xf numFmtId="0" fontId="11" fillId="0" borderId="10" xfId="0" applyNumberFormat="1" applyFont="1" applyBorder="1" applyAlignment="1">
      <alignment horizontal="center"/>
    </xf>
    <xf numFmtId="164" fontId="11" fillId="0" borderId="11" xfId="0" applyNumberFormat="1" applyFont="1" applyFill="1" applyBorder="1" applyAlignment="1" applyProtection="1">
      <alignment horizontal="center"/>
      <protection/>
    </xf>
    <xf numFmtId="0" fontId="64" fillId="0" borderId="11" xfId="0" applyNumberFormat="1" applyFont="1" applyFill="1" applyBorder="1" applyAlignment="1" applyProtection="1">
      <alignment horizontal="center"/>
      <protection locked="0"/>
    </xf>
    <xf numFmtId="0" fontId="11" fillId="0" borderId="11" xfId="0" applyNumberFormat="1" applyFont="1" applyFill="1" applyBorder="1" applyAlignment="1" applyProtection="1">
      <alignment horizontal="center"/>
      <protection/>
    </xf>
    <xf numFmtId="164" fontId="2" fillId="0" borderId="11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 vertical="center"/>
    </xf>
    <xf numFmtId="164" fontId="11" fillId="0" borderId="11" xfId="0" applyNumberFormat="1" applyFont="1" applyFill="1" applyBorder="1" applyAlignment="1" applyProtection="1">
      <alignment horizontal="center"/>
      <protection/>
    </xf>
    <xf numFmtId="0" fontId="64" fillId="0" borderId="11" xfId="0" applyNumberFormat="1" applyFont="1" applyFill="1" applyBorder="1" applyAlignment="1" applyProtection="1">
      <alignment horizontal="center"/>
      <protection locked="0"/>
    </xf>
    <xf numFmtId="0" fontId="11" fillId="0" borderId="11" xfId="0" applyNumberFormat="1" applyFont="1" applyFill="1" applyBorder="1" applyAlignment="1" applyProtection="1">
      <alignment horizontal="center"/>
      <protection/>
    </xf>
    <xf numFmtId="0" fontId="0" fillId="0" borderId="11" xfId="0" applyNumberFormat="1" applyFill="1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164" fontId="9" fillId="0" borderId="11" xfId="0" applyNumberFormat="1" applyFont="1" applyFill="1" applyBorder="1" applyAlignment="1">
      <alignment horizontal="center"/>
    </xf>
    <xf numFmtId="0" fontId="9" fillId="0" borderId="11" xfId="0" applyNumberFormat="1" applyFont="1" applyFill="1" applyBorder="1" applyAlignment="1">
      <alignment horizontal="center"/>
    </xf>
    <xf numFmtId="0" fontId="2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164" fontId="64" fillId="0" borderId="11" xfId="0" applyNumberFormat="1" applyFont="1" applyBorder="1" applyAlignment="1" applyProtection="1">
      <alignment horizontal="center" vertical="center" wrapText="1"/>
      <protection/>
    </xf>
    <xf numFmtId="164" fontId="11" fillId="0" borderId="11" xfId="0" applyNumberFormat="1" applyFont="1" applyBorder="1" applyAlignment="1" applyProtection="1">
      <alignment horizontal="center" vertical="center" wrapText="1"/>
      <protection/>
    </xf>
    <xf numFmtId="0" fontId="64" fillId="0" borderId="11" xfId="0" applyNumberFormat="1" applyFont="1" applyBorder="1" applyAlignment="1" applyProtection="1">
      <alignment horizontal="center" vertical="center" wrapText="1"/>
      <protection/>
    </xf>
    <xf numFmtId="0" fontId="11" fillId="0" borderId="11" xfId="0" applyNumberFormat="1" applyFont="1" applyBorder="1" applyAlignment="1" applyProtection="1">
      <alignment horizontal="center" vertical="center" wrapText="1"/>
      <protection/>
    </xf>
    <xf numFmtId="164" fontId="2" fillId="0" borderId="11" xfId="0" applyNumberFormat="1" applyFont="1" applyBorder="1" applyAlignment="1" applyProtection="1">
      <alignment horizontal="center" vertical="center" wrapText="1"/>
      <protection/>
    </xf>
    <xf numFmtId="0" fontId="9" fillId="0" borderId="11" xfId="0" applyFont="1" applyBorder="1" applyAlignment="1" applyProtection="1">
      <alignment horizontal="center" vertical="center" wrapText="1"/>
      <protection/>
    </xf>
    <xf numFmtId="0" fontId="2" fillId="0" borderId="12" xfId="0" applyNumberFormat="1" applyFont="1" applyBorder="1" applyAlignment="1" applyProtection="1">
      <alignment horizontal="center"/>
      <protection/>
    </xf>
    <xf numFmtId="0" fontId="3" fillId="0" borderId="11" xfId="0" applyNumberFormat="1" applyFont="1" applyBorder="1" applyAlignment="1" applyProtection="1">
      <alignment horizontal="left"/>
      <protection/>
    </xf>
    <xf numFmtId="164" fontId="2" fillId="0" borderId="10" xfId="0" applyNumberFormat="1" applyFont="1" applyBorder="1" applyAlignment="1" applyProtection="1">
      <alignment horizontal="center"/>
      <protection/>
    </xf>
    <xf numFmtId="0" fontId="0" fillId="0" borderId="10" xfId="0" applyNumberFormat="1" applyBorder="1" applyAlignment="1" applyProtection="1">
      <alignment horizontal="center"/>
      <protection/>
    </xf>
    <xf numFmtId="0" fontId="2" fillId="0" borderId="32" xfId="0" applyNumberFormat="1" applyFont="1" applyBorder="1" applyAlignment="1" applyProtection="1">
      <alignment horizontal="center"/>
      <protection/>
    </xf>
    <xf numFmtId="0" fontId="3" fillId="0" borderId="13" xfId="0" applyNumberFormat="1" applyFont="1" applyBorder="1" applyAlignment="1" applyProtection="1">
      <alignment horizontal="left"/>
      <protection/>
    </xf>
    <xf numFmtId="0" fontId="2" fillId="0" borderId="11" xfId="0" applyNumberFormat="1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11" fillId="0" borderId="11" xfId="0" applyFont="1" applyBorder="1" applyAlignment="1" applyProtection="1">
      <alignment horizontal="center" vertical="center" wrapText="1"/>
      <protection/>
    </xf>
    <xf numFmtId="0" fontId="2" fillId="0" borderId="13" xfId="0" applyNumberFormat="1" applyFont="1" applyBorder="1" applyAlignment="1" applyProtection="1">
      <alignment horizontal="center"/>
      <protection/>
    </xf>
    <xf numFmtId="0" fontId="2" fillId="0" borderId="1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6" fillId="0" borderId="11" xfId="0" applyFont="1" applyBorder="1" applyAlignment="1">
      <alignment horizontal="center"/>
    </xf>
    <xf numFmtId="0" fontId="67" fillId="0" borderId="11" xfId="58" applyNumberFormat="1" applyFont="1" applyFill="1" applyBorder="1" applyAlignment="1">
      <alignment horizontal="center" vertical="center" wrapText="1"/>
      <protection/>
    </xf>
    <xf numFmtId="0" fontId="7" fillId="33" borderId="0" xfId="58" applyNumberFormat="1" applyFont="1" applyFill="1" applyAlignment="1">
      <alignment wrapText="1"/>
      <protection/>
    </xf>
    <xf numFmtId="164" fontId="64" fillId="0" borderId="11" xfId="0" applyNumberFormat="1" applyFont="1" applyFill="1" applyBorder="1" applyAlignment="1" applyProtection="1">
      <alignment horizontal="center"/>
      <protection/>
    </xf>
    <xf numFmtId="49" fontId="64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2" xfId="0" applyNumberFormat="1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0" xfId="0" applyBorder="1" applyAlignment="1">
      <alignment horizontal="center"/>
    </xf>
    <xf numFmtId="0" fontId="66" fillId="0" borderId="11" xfId="0" applyFont="1" applyBorder="1" applyAlignment="1">
      <alignment horizontal="center"/>
    </xf>
    <xf numFmtId="0" fontId="4" fillId="0" borderId="11" xfId="0" applyFont="1" applyBorder="1" applyAlignment="1">
      <alignment vertical="center" wrapText="1"/>
    </xf>
    <xf numFmtId="0" fontId="11" fillId="0" borderId="11" xfId="0" applyNumberFormat="1" applyFont="1" applyBorder="1" applyAlignment="1">
      <alignment horizontal="center"/>
    </xf>
    <xf numFmtId="0" fontId="67" fillId="0" borderId="11" xfId="58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Fill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0" fontId="3" fillId="0" borderId="11" xfId="0" applyNumberFormat="1" applyFont="1" applyFill="1" applyBorder="1" applyAlignment="1">
      <alignment horizontal="left"/>
    </xf>
    <xf numFmtId="0" fontId="3" fillId="0" borderId="11" xfId="0" applyNumberFormat="1" applyFont="1" applyBorder="1" applyAlignment="1">
      <alignment horizontal="left"/>
    </xf>
    <xf numFmtId="164" fontId="64" fillId="0" borderId="11" xfId="0" applyNumberFormat="1" applyFont="1" applyFill="1" applyBorder="1" applyAlignment="1" applyProtection="1">
      <alignment horizontal="center"/>
      <protection locked="0"/>
    </xf>
    <xf numFmtId="164" fontId="64" fillId="0" borderId="11" xfId="0" applyNumberFormat="1" applyFont="1" applyBorder="1" applyAlignment="1" applyProtection="1">
      <alignment horizontal="center"/>
      <protection locked="0"/>
    </xf>
    <xf numFmtId="0" fontId="64" fillId="0" borderId="11" xfId="0" applyNumberFormat="1" applyFont="1" applyFill="1" applyBorder="1" applyAlignment="1" applyProtection="1">
      <alignment horizontal="center"/>
      <protection locked="0"/>
    </xf>
    <xf numFmtId="0" fontId="64" fillId="0" borderId="11" xfId="0" applyNumberFormat="1" applyFont="1" applyBorder="1" applyAlignment="1" applyProtection="1">
      <alignment horizontal="center"/>
      <protection locked="0"/>
    </xf>
    <xf numFmtId="164" fontId="2" fillId="0" borderId="11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11" fillId="0" borderId="11" xfId="0" applyNumberFormat="1" applyFont="1" applyFill="1" applyBorder="1" applyAlignment="1" applyProtection="1">
      <alignment horizontal="center"/>
      <protection locked="0"/>
    </xf>
    <xf numFmtId="0" fontId="68" fillId="0" borderId="21" xfId="0" applyFont="1" applyBorder="1" applyAlignment="1">
      <alignment horizontal="center"/>
    </xf>
    <xf numFmtId="0" fontId="68" fillId="0" borderId="21" xfId="0" applyFont="1" applyBorder="1" applyAlignment="1">
      <alignment/>
    </xf>
    <xf numFmtId="0" fontId="0" fillId="0" borderId="0" xfId="0" applyBorder="1" applyAlignment="1">
      <alignment/>
    </xf>
    <xf numFmtId="166" fontId="11" fillId="0" borderId="0" xfId="0" applyNumberFormat="1" applyFont="1" applyBorder="1" applyAlignment="1">
      <alignment/>
    </xf>
    <xf numFmtId="0" fontId="6" fillId="0" borderId="0" xfId="0" applyFont="1" applyBorder="1" applyAlignment="1">
      <alignment vertical="center" wrapText="1"/>
    </xf>
    <xf numFmtId="0" fontId="68" fillId="0" borderId="0" xfId="0" applyFont="1" applyBorder="1" applyAlignment="1">
      <alignment/>
    </xf>
    <xf numFmtId="0" fontId="65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69" fillId="0" borderId="0" xfId="0" applyFont="1" applyBorder="1" applyAlignment="1" applyProtection="1">
      <alignment vertical="center" wrapText="1"/>
      <protection locked="0"/>
    </xf>
    <xf numFmtId="0" fontId="68" fillId="0" borderId="0" xfId="0" applyFont="1" applyBorder="1" applyAlignment="1">
      <alignment horizontal="center"/>
    </xf>
    <xf numFmtId="0" fontId="69" fillId="0" borderId="0" xfId="0" applyFont="1" applyBorder="1" applyAlignment="1">
      <alignment vertical="center" wrapText="1"/>
    </xf>
    <xf numFmtId="0" fontId="50" fillId="0" borderId="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64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164" fontId="11" fillId="0" borderId="0" xfId="0" applyNumberFormat="1" applyFont="1" applyBorder="1" applyAlignment="1" applyProtection="1">
      <alignment horizontal="center" vertical="center" wrapText="1"/>
      <protection/>
    </xf>
    <xf numFmtId="164" fontId="2" fillId="0" borderId="0" xfId="0" applyNumberFormat="1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67" fillId="0" borderId="0" xfId="58" applyNumberFormat="1" applyFont="1" applyFill="1" applyBorder="1" applyAlignment="1">
      <alignment horizontal="center" vertical="center" wrapText="1"/>
      <protection/>
    </xf>
    <xf numFmtId="0" fontId="3" fillId="0" borderId="0" xfId="0" applyNumberFormat="1" applyFont="1" applyBorder="1" applyAlignment="1" applyProtection="1">
      <alignment horizontal="left"/>
      <protection/>
    </xf>
    <xf numFmtId="164" fontId="2" fillId="0" borderId="0" xfId="0" applyNumberFormat="1" applyFont="1" applyBorder="1" applyAlignment="1" applyProtection="1">
      <alignment horizontal="center"/>
      <protection/>
    </xf>
    <xf numFmtId="0" fontId="0" fillId="0" borderId="0" xfId="0" applyNumberFormat="1" applyBorder="1" applyAlignment="1" applyProtection="1">
      <alignment horizontal="center"/>
      <protection/>
    </xf>
    <xf numFmtId="165" fontId="2" fillId="0" borderId="0" xfId="0" applyNumberFormat="1" applyFont="1" applyBorder="1" applyAlignment="1">
      <alignment horizontal="center"/>
    </xf>
    <xf numFmtId="165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11" fillId="0" borderId="0" xfId="0" applyNumberFormat="1" applyFont="1" applyBorder="1" applyAlignment="1">
      <alignment horizontal="center"/>
    </xf>
    <xf numFmtId="164" fontId="0" fillId="0" borderId="0" xfId="0" applyNumberFormat="1" applyBorder="1" applyAlignment="1">
      <alignment/>
    </xf>
    <xf numFmtId="0" fontId="4" fillId="0" borderId="0" xfId="0" applyFont="1" applyFill="1" applyBorder="1" applyAlignment="1">
      <alignment vertical="center" wrapText="1"/>
    </xf>
    <xf numFmtId="0" fontId="21" fillId="0" borderId="0" xfId="0" applyFont="1" applyBorder="1" applyAlignment="1">
      <alignment horizontal="center"/>
    </xf>
    <xf numFmtId="0" fontId="64" fillId="0" borderId="11" xfId="0" applyFont="1" applyBorder="1" applyAlignment="1">
      <alignment horizontal="center" vertical="center" wrapText="1"/>
    </xf>
    <xf numFmtId="2" fontId="0" fillId="0" borderId="11" xfId="0" applyNumberFormat="1" applyBorder="1" applyAlignment="1">
      <alignment/>
    </xf>
    <xf numFmtId="0" fontId="0" fillId="0" borderId="0" xfId="0" applyAlignment="1">
      <alignment/>
    </xf>
    <xf numFmtId="0" fontId="60" fillId="0" borderId="0" xfId="0" applyFont="1" applyBorder="1" applyAlignment="1">
      <alignment/>
    </xf>
    <xf numFmtId="0" fontId="2" fillId="0" borderId="11" xfId="0" applyNumberFormat="1" applyFont="1" applyBorder="1" applyAlignment="1">
      <alignment horizontal="center"/>
    </xf>
    <xf numFmtId="164" fontId="64" fillId="0" borderId="11" xfId="0" applyNumberFormat="1" applyFont="1" applyBorder="1" applyAlignment="1" applyProtection="1">
      <alignment horizontal="center"/>
      <protection locked="0"/>
    </xf>
    <xf numFmtId="0" fontId="60" fillId="0" borderId="0" xfId="42" applyNumberFormat="1" applyFont="1" applyBorder="1" applyAlignment="1">
      <alignment horizontal="left"/>
    </xf>
    <xf numFmtId="0" fontId="7" fillId="0" borderId="0" xfId="58" applyNumberFormat="1" applyFont="1" applyFill="1" applyAlignment="1">
      <alignment horizontal="center" wrapText="1"/>
      <protection/>
    </xf>
    <xf numFmtId="0" fontId="3" fillId="0" borderId="0" xfId="0" applyNumberFormat="1" applyFont="1" applyBorder="1" applyAlignment="1">
      <alignment horizontal="left"/>
    </xf>
    <xf numFmtId="164" fontId="64" fillId="0" borderId="0" xfId="0" applyNumberFormat="1" applyFont="1" applyBorder="1" applyAlignment="1" applyProtection="1">
      <alignment horizontal="center"/>
      <protection locked="0"/>
    </xf>
    <xf numFmtId="164" fontId="11" fillId="0" borderId="0" xfId="0" applyNumberFormat="1" applyFont="1" applyBorder="1" applyAlignment="1" applyProtection="1">
      <alignment horizontal="center"/>
      <protection locked="0"/>
    </xf>
    <xf numFmtId="0" fontId="64" fillId="0" borderId="0" xfId="0" applyNumberFormat="1" applyFont="1" applyBorder="1" applyAlignment="1" applyProtection="1">
      <alignment horizontal="center"/>
      <protection locked="0"/>
    </xf>
    <xf numFmtId="164" fontId="2" fillId="0" borderId="0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left"/>
    </xf>
    <xf numFmtId="164" fontId="64" fillId="0" borderId="11" xfId="0" applyNumberFormat="1" applyFont="1" applyBorder="1" applyAlignment="1" applyProtection="1">
      <alignment horizontal="center"/>
      <protection locked="0"/>
    </xf>
    <xf numFmtId="164" fontId="11" fillId="0" borderId="11" xfId="0" applyNumberFormat="1" applyFont="1" applyBorder="1" applyAlignment="1" applyProtection="1">
      <alignment horizontal="center"/>
      <protection locked="0"/>
    </xf>
    <xf numFmtId="0" fontId="64" fillId="0" borderId="11" xfId="0" applyNumberFormat="1" applyFont="1" applyBorder="1" applyAlignment="1" applyProtection="1">
      <alignment horizontal="center"/>
      <protection locked="0"/>
    </xf>
    <xf numFmtId="164" fontId="2" fillId="0" borderId="11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0" fontId="67" fillId="0" borderId="13" xfId="58" applyNumberFormat="1" applyFont="1" applyFill="1" applyBorder="1" applyAlignment="1" applyProtection="1">
      <alignment horizontal="center" vertical="center" wrapText="1"/>
      <protection locked="0"/>
    </xf>
    <xf numFmtId="0" fontId="2" fillId="0" borderId="13" xfId="0" applyNumberFormat="1" applyFont="1" applyBorder="1" applyAlignment="1">
      <alignment horizontal="center"/>
    </xf>
    <xf numFmtId="0" fontId="3" fillId="0" borderId="13" xfId="0" applyNumberFormat="1" applyFont="1" applyBorder="1" applyAlignment="1">
      <alignment horizontal="left"/>
    </xf>
    <xf numFmtId="164" fontId="64" fillId="0" borderId="13" xfId="0" applyNumberFormat="1" applyFont="1" applyBorder="1" applyAlignment="1" applyProtection="1">
      <alignment horizontal="center"/>
      <protection locked="0"/>
    </xf>
    <xf numFmtId="164" fontId="11" fillId="0" borderId="13" xfId="0" applyNumberFormat="1" applyFont="1" applyBorder="1" applyAlignment="1" applyProtection="1">
      <alignment horizontal="center"/>
      <protection locked="0"/>
    </xf>
    <xf numFmtId="0" fontId="64" fillId="0" borderId="13" xfId="0" applyNumberFormat="1" applyFont="1" applyBorder="1" applyAlignment="1" applyProtection="1">
      <alignment horizontal="center"/>
      <protection locked="0"/>
    </xf>
    <xf numFmtId="164" fontId="2" fillId="0" borderId="13" xfId="0" applyNumberFormat="1" applyFont="1" applyBorder="1" applyAlignment="1">
      <alignment horizontal="center"/>
    </xf>
    <xf numFmtId="164" fontId="2" fillId="0" borderId="33" xfId="0" applyNumberFormat="1" applyFont="1" applyBorder="1" applyAlignment="1">
      <alignment horizontal="center"/>
    </xf>
    <xf numFmtId="0" fontId="7" fillId="0" borderId="11" xfId="58" applyNumberFormat="1" applyFont="1" applyFill="1" applyBorder="1" applyAlignment="1">
      <alignment horizontal="center" wrapText="1"/>
      <protection/>
    </xf>
    <xf numFmtId="0" fontId="67" fillId="0" borderId="0" xfId="58" applyNumberFormat="1" applyFont="1" applyFill="1" applyAlignment="1" applyProtection="1">
      <alignment horizontal="center" vertical="center" wrapText="1"/>
      <protection locked="0"/>
    </xf>
    <xf numFmtId="0" fontId="7" fillId="0" borderId="13" xfId="58" applyNumberFormat="1" applyFont="1" applyFill="1" applyBorder="1" applyAlignment="1">
      <alignment horizontal="center" wrapText="1"/>
      <protection/>
    </xf>
    <xf numFmtId="164" fontId="64" fillId="0" borderId="13" xfId="0" applyNumberFormat="1" applyFont="1" applyBorder="1" applyAlignment="1" applyProtection="1">
      <alignment horizontal="center"/>
      <protection locked="0"/>
    </xf>
    <xf numFmtId="164" fontId="11" fillId="0" borderId="13" xfId="0" applyNumberFormat="1" applyFont="1" applyBorder="1" applyAlignment="1" applyProtection="1">
      <alignment horizontal="center"/>
      <protection locked="0"/>
    </xf>
    <xf numFmtId="0" fontId="64" fillId="0" borderId="13" xfId="0" applyNumberFormat="1" applyFont="1" applyBorder="1" applyAlignment="1" applyProtection="1">
      <alignment horizontal="center"/>
      <protection locked="0"/>
    </xf>
    <xf numFmtId="164" fontId="2" fillId="0" borderId="33" xfId="0" applyNumberFormat="1" applyFont="1" applyBorder="1" applyAlignment="1">
      <alignment horizontal="center"/>
    </xf>
    <xf numFmtId="0" fontId="5" fillId="0" borderId="34" xfId="0" applyFont="1" applyBorder="1" applyAlignment="1">
      <alignment vertical="center" wrapText="1"/>
    </xf>
    <xf numFmtId="0" fontId="2" fillId="0" borderId="11" xfId="0" applyNumberFormat="1" applyFont="1" applyBorder="1" applyAlignment="1" applyProtection="1">
      <alignment horizontal="center"/>
      <protection/>
    </xf>
    <xf numFmtId="0" fontId="3" fillId="0" borderId="11" xfId="0" applyNumberFormat="1" applyFont="1" applyBorder="1" applyAlignment="1" applyProtection="1">
      <alignment horizontal="left"/>
      <protection/>
    </xf>
    <xf numFmtId="164" fontId="11" fillId="0" borderId="11" xfId="0" applyNumberFormat="1" applyFont="1" applyBorder="1" applyAlignment="1" applyProtection="1">
      <alignment horizontal="center"/>
      <protection/>
    </xf>
    <xf numFmtId="164" fontId="2" fillId="0" borderId="10" xfId="0" applyNumberFormat="1" applyFont="1" applyBorder="1" applyAlignment="1" applyProtection="1">
      <alignment horizontal="center"/>
      <protection/>
    </xf>
    <xf numFmtId="0" fontId="9" fillId="0" borderId="10" xfId="0" applyNumberFormat="1" applyFont="1" applyBorder="1" applyAlignment="1" applyProtection="1">
      <alignment horizontal="center"/>
      <protection/>
    </xf>
    <xf numFmtId="0" fontId="2" fillId="0" borderId="11" xfId="0" applyNumberFormat="1" applyFont="1" applyBorder="1" applyAlignment="1">
      <alignment horizontal="center" vertical="center"/>
    </xf>
    <xf numFmtId="165" fontId="2" fillId="0" borderId="11" xfId="0" applyNumberFormat="1" applyFont="1" applyBorder="1" applyAlignment="1">
      <alignment horizontal="center"/>
    </xf>
    <xf numFmtId="165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11" fillId="0" borderId="14" xfId="0" applyNumberFormat="1" applyFont="1" applyBorder="1" applyAlignment="1">
      <alignment horizontal="center"/>
    </xf>
    <xf numFmtId="164" fontId="2" fillId="0" borderId="14" xfId="0" applyNumberFormat="1" applyFont="1" applyBorder="1" applyAlignment="1">
      <alignment horizontal="center" vertical="center" wrapText="1"/>
    </xf>
    <xf numFmtId="0" fontId="9" fillId="0" borderId="34" xfId="0" applyNumberFormat="1" applyFont="1" applyBorder="1" applyAlignment="1" applyProtection="1">
      <alignment horizontal="center"/>
      <protection/>
    </xf>
    <xf numFmtId="0" fontId="2" fillId="0" borderId="13" xfId="0" applyNumberFormat="1" applyFont="1" applyBorder="1" applyAlignment="1" applyProtection="1">
      <alignment horizontal="center"/>
      <protection/>
    </xf>
    <xf numFmtId="0" fontId="3" fillId="0" borderId="13" xfId="0" applyNumberFormat="1" applyFont="1" applyBorder="1" applyAlignment="1" applyProtection="1">
      <alignment horizontal="left"/>
      <protection/>
    </xf>
    <xf numFmtId="164" fontId="11" fillId="0" borderId="13" xfId="0" applyNumberFormat="1" applyFont="1" applyBorder="1" applyAlignment="1" applyProtection="1">
      <alignment horizontal="center"/>
      <protection/>
    </xf>
    <xf numFmtId="164" fontId="2" fillId="0" borderId="33" xfId="0" applyNumberFormat="1" applyFont="1" applyBorder="1" applyAlignment="1" applyProtection="1">
      <alignment horizontal="center"/>
      <protection/>
    </xf>
    <xf numFmtId="0" fontId="2" fillId="0" borderId="13" xfId="0" applyNumberFormat="1" applyFont="1" applyBorder="1" applyAlignment="1">
      <alignment horizontal="center" vertical="center"/>
    </xf>
    <xf numFmtId="165" fontId="2" fillId="0" borderId="13" xfId="0" applyNumberFormat="1" applyFont="1" applyBorder="1" applyAlignment="1">
      <alignment horizontal="center"/>
    </xf>
    <xf numFmtId="165" fontId="2" fillId="0" borderId="33" xfId="0" applyNumberFormat="1" applyFont="1" applyBorder="1" applyAlignment="1">
      <alignment horizontal="center" vertical="center" wrapText="1"/>
    </xf>
    <xf numFmtId="2" fontId="2" fillId="0" borderId="33" xfId="0" applyNumberFormat="1" applyFont="1" applyBorder="1" applyAlignment="1">
      <alignment horizontal="center" vertical="center" wrapText="1"/>
    </xf>
    <xf numFmtId="0" fontId="11" fillId="0" borderId="27" xfId="0" applyNumberFormat="1" applyFont="1" applyBorder="1" applyAlignment="1">
      <alignment horizontal="center"/>
    </xf>
    <xf numFmtId="164" fontId="2" fillId="0" borderId="27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6" fillId="0" borderId="27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4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69" fillId="0" borderId="14" xfId="0" applyFont="1" applyBorder="1" applyAlignment="1" applyProtection="1">
      <alignment horizontal="left" vertical="center" wrapText="1"/>
      <protection locked="0"/>
    </xf>
    <xf numFmtId="0" fontId="69" fillId="0" borderId="36" xfId="0" applyFont="1" applyBorder="1" applyAlignment="1" applyProtection="1">
      <alignment horizontal="left" vertical="center" wrapText="1"/>
      <protection locked="0"/>
    </xf>
    <xf numFmtId="0" fontId="69" fillId="0" borderId="12" xfId="0" applyFont="1" applyBorder="1" applyAlignment="1" applyProtection="1">
      <alignment horizontal="left" vertical="center" wrapText="1"/>
      <protection locked="0"/>
    </xf>
    <xf numFmtId="166" fontId="11" fillId="0" borderId="0" xfId="0" applyNumberFormat="1" applyFont="1" applyBorder="1" applyAlignment="1">
      <alignment horizontal="left"/>
    </xf>
    <xf numFmtId="0" fontId="0" fillId="0" borderId="0" xfId="0" applyBorder="1" applyAlignment="1">
      <alignment horizontal="center"/>
    </xf>
    <xf numFmtId="0" fontId="69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center"/>
    </xf>
    <xf numFmtId="0" fontId="11" fillId="0" borderId="14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5" fillId="0" borderId="14" xfId="0" applyFont="1" applyBorder="1" applyAlignment="1">
      <alignment horizontal="left" vertical="center" wrapText="1"/>
    </xf>
    <xf numFmtId="0" fontId="5" fillId="0" borderId="36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69" fillId="0" borderId="14" xfId="0" applyFont="1" applyBorder="1" applyAlignment="1">
      <alignment horizontal="left" vertical="center" wrapText="1"/>
    </xf>
    <xf numFmtId="0" fontId="69" fillId="0" borderId="36" xfId="0" applyFont="1" applyBorder="1" applyAlignment="1">
      <alignment horizontal="left" vertical="center" wrapText="1"/>
    </xf>
    <xf numFmtId="0" fontId="69" fillId="0" borderId="12" xfId="0" applyFont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5" fillId="0" borderId="14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6" fillId="0" borderId="11" xfId="0" applyFont="1" applyBorder="1" applyAlignment="1">
      <alignment horizontal="left" vertical="center" wrapText="1"/>
    </xf>
    <xf numFmtId="0" fontId="69" fillId="0" borderId="11" xfId="0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/>
    </xf>
    <xf numFmtId="0" fontId="4" fillId="0" borderId="27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wrapText="1"/>
    </xf>
    <xf numFmtId="0" fontId="6" fillId="0" borderId="35" xfId="0" applyFont="1" applyBorder="1" applyAlignment="1">
      <alignment horizontal="center" wrapText="1"/>
    </xf>
    <xf numFmtId="0" fontId="6" fillId="0" borderId="32" xfId="0" applyFont="1" applyBorder="1" applyAlignment="1">
      <alignment horizontal="center" wrapText="1"/>
    </xf>
    <xf numFmtId="0" fontId="6" fillId="0" borderId="28" xfId="0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</cellXfs>
  <cellStyles count="7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12" xfId="56"/>
    <cellStyle name="Обычный 12 2" xfId="57"/>
    <cellStyle name="Обычный 2" xfId="58"/>
    <cellStyle name="Обычный 2 2" xfId="59"/>
    <cellStyle name="Обычный 2 2 2" xfId="60"/>
    <cellStyle name="Обычный 2 2 2 2" xfId="61"/>
    <cellStyle name="Обычный 2 2 3" xfId="62"/>
    <cellStyle name="Обычный 2 3" xfId="63"/>
    <cellStyle name="Обычный 2_Данные связка 2 эт." xfId="64"/>
    <cellStyle name="Обычный 3" xfId="65"/>
    <cellStyle name="Обычный 3 2" xfId="66"/>
    <cellStyle name="Обычный 3 2 2" xfId="67"/>
    <cellStyle name="Обычный 3 3" xfId="68"/>
    <cellStyle name="Обычный 3_5 класс Сквоз ЛК и РЕГ" xfId="69"/>
    <cellStyle name="Обычный 4" xfId="70"/>
    <cellStyle name="Обычный 4 2" xfId="71"/>
    <cellStyle name="Обычный 4 2 2" xfId="72"/>
    <cellStyle name="Обычный 4 3" xfId="73"/>
    <cellStyle name="Обычный 5" xfId="74"/>
    <cellStyle name="Обычный 5 2" xfId="75"/>
    <cellStyle name="Обычный 6" xfId="76"/>
    <cellStyle name="Обычный 7" xfId="77"/>
    <cellStyle name="Обычный 7 2" xfId="78"/>
    <cellStyle name="Обычный 8" xfId="79"/>
    <cellStyle name="Обычный 8 2" xfId="80"/>
    <cellStyle name="Обычный 9" xfId="81"/>
    <cellStyle name="Обычный 9 2" xfId="82"/>
    <cellStyle name="Плохой" xfId="83"/>
    <cellStyle name="Пояснение" xfId="84"/>
    <cellStyle name="Примечание" xfId="85"/>
    <cellStyle name="Percent" xfId="86"/>
    <cellStyle name="Процентный 2" xfId="87"/>
    <cellStyle name="Связанная ячейка" xfId="88"/>
    <cellStyle name="Текст предупреждения" xfId="89"/>
    <cellStyle name="Comma" xfId="90"/>
    <cellStyle name="Comma [0]" xfId="91"/>
    <cellStyle name="Хороший" xfId="92"/>
  </cellStyles>
  <tableStyles count="1" defaultTableStyle="TableStyleMedium9" defaultPivotStyle="PivotStyleLight16">
    <tableStyle name="Стиль без форматирования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809625</xdr:colOff>
      <xdr:row>0</xdr:row>
      <xdr:rowOff>85725</xdr:rowOff>
    </xdr:from>
    <xdr:to>
      <xdr:col>2</xdr:col>
      <xdr:colOff>1152525</xdr:colOff>
      <xdr:row>1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85725"/>
          <a:ext cx="3429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809625</xdr:colOff>
      <xdr:row>0</xdr:row>
      <xdr:rowOff>85725</xdr:rowOff>
    </xdr:from>
    <xdr:to>
      <xdr:col>2</xdr:col>
      <xdr:colOff>1152525</xdr:colOff>
      <xdr:row>1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85725"/>
          <a:ext cx="3429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809625</xdr:colOff>
      <xdr:row>0</xdr:row>
      <xdr:rowOff>85725</xdr:rowOff>
    </xdr:from>
    <xdr:to>
      <xdr:col>2</xdr:col>
      <xdr:colOff>1152525</xdr:colOff>
      <xdr:row>1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85725"/>
          <a:ext cx="3429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504825</xdr:colOff>
      <xdr:row>0</xdr:row>
      <xdr:rowOff>95250</xdr:rowOff>
    </xdr:from>
    <xdr:to>
      <xdr:col>2</xdr:col>
      <xdr:colOff>1085850</xdr:colOff>
      <xdr:row>1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95250"/>
          <a:ext cx="5810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752475</xdr:colOff>
      <xdr:row>0</xdr:row>
      <xdr:rowOff>76200</xdr:rowOff>
    </xdr:from>
    <xdr:to>
      <xdr:col>2</xdr:col>
      <xdr:colOff>1333500</xdr:colOff>
      <xdr:row>0</xdr:row>
      <xdr:rowOff>895350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76200"/>
          <a:ext cx="5810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723900</xdr:colOff>
      <xdr:row>0</xdr:row>
      <xdr:rowOff>66675</xdr:rowOff>
    </xdr:from>
    <xdr:to>
      <xdr:col>2</xdr:col>
      <xdr:colOff>1133475</xdr:colOff>
      <xdr:row>1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28825" y="66675"/>
          <a:ext cx="4095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1000125</xdr:colOff>
      <xdr:row>24</xdr:row>
      <xdr:rowOff>104775</xdr:rowOff>
    </xdr:from>
    <xdr:to>
      <xdr:col>3</xdr:col>
      <xdr:colOff>561975</xdr:colOff>
      <xdr:row>27</xdr:row>
      <xdr:rowOff>104775</xdr:rowOff>
    </xdr:to>
    <xdr:pic>
      <xdr:nvPicPr>
        <xdr:cNvPr id="2" name="Рисунок 2" descr="Панов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05050" y="5934075"/>
          <a:ext cx="14954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723900</xdr:colOff>
      <xdr:row>0</xdr:row>
      <xdr:rowOff>66675</xdr:rowOff>
    </xdr:from>
    <xdr:to>
      <xdr:col>2</xdr:col>
      <xdr:colOff>1133475</xdr:colOff>
      <xdr:row>1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28825" y="66675"/>
          <a:ext cx="4095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1000125</xdr:colOff>
      <xdr:row>17</xdr:row>
      <xdr:rowOff>104775</xdr:rowOff>
    </xdr:from>
    <xdr:to>
      <xdr:col>3</xdr:col>
      <xdr:colOff>561975</xdr:colOff>
      <xdr:row>20</xdr:row>
      <xdr:rowOff>104775</xdr:rowOff>
    </xdr:to>
    <xdr:pic>
      <xdr:nvPicPr>
        <xdr:cNvPr id="2" name="Рисунок 2" descr="Панов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05050" y="4562475"/>
          <a:ext cx="14954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638175</xdr:colOff>
      <xdr:row>0</xdr:row>
      <xdr:rowOff>152400</xdr:rowOff>
    </xdr:from>
    <xdr:to>
      <xdr:col>2</xdr:col>
      <xdr:colOff>1047750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52400"/>
          <a:ext cx="4095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104775</xdr:colOff>
      <xdr:row>30</xdr:row>
      <xdr:rowOff>28575</xdr:rowOff>
    </xdr:from>
    <xdr:to>
      <xdr:col>6</xdr:col>
      <xdr:colOff>47625</xdr:colOff>
      <xdr:row>33</xdr:row>
      <xdr:rowOff>19050</xdr:rowOff>
    </xdr:to>
    <xdr:pic>
      <xdr:nvPicPr>
        <xdr:cNvPr id="2" name="Рисунок 2" descr="Панов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52900" y="6934200"/>
          <a:ext cx="15049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809625</xdr:colOff>
      <xdr:row>0</xdr:row>
      <xdr:rowOff>85725</xdr:rowOff>
    </xdr:from>
    <xdr:to>
      <xdr:col>2</xdr:col>
      <xdr:colOff>1152525</xdr:colOff>
      <xdr:row>1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85725"/>
          <a:ext cx="3429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504825</xdr:colOff>
      <xdr:row>0</xdr:row>
      <xdr:rowOff>95250</xdr:rowOff>
    </xdr:from>
    <xdr:to>
      <xdr:col>2</xdr:col>
      <xdr:colOff>1085850</xdr:colOff>
      <xdr:row>1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95250"/>
          <a:ext cx="5810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809625</xdr:colOff>
      <xdr:row>0</xdr:row>
      <xdr:rowOff>85725</xdr:rowOff>
    </xdr:from>
    <xdr:to>
      <xdr:col>2</xdr:col>
      <xdr:colOff>1152525</xdr:colOff>
      <xdr:row>1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85725"/>
          <a:ext cx="3429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809625</xdr:colOff>
      <xdr:row>0</xdr:row>
      <xdr:rowOff>85725</xdr:rowOff>
    </xdr:from>
    <xdr:to>
      <xdr:col>2</xdr:col>
      <xdr:colOff>1152525</xdr:colOff>
      <xdr:row>1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85725"/>
          <a:ext cx="3429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504825</xdr:colOff>
      <xdr:row>0</xdr:row>
      <xdr:rowOff>95250</xdr:rowOff>
    </xdr:from>
    <xdr:to>
      <xdr:col>2</xdr:col>
      <xdr:colOff>1085850</xdr:colOff>
      <xdr:row>1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95250"/>
          <a:ext cx="5810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809625</xdr:colOff>
      <xdr:row>0</xdr:row>
      <xdr:rowOff>85725</xdr:rowOff>
    </xdr:from>
    <xdr:to>
      <xdr:col>2</xdr:col>
      <xdr:colOff>1152525</xdr:colOff>
      <xdr:row>1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85725"/>
          <a:ext cx="3429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809625</xdr:colOff>
      <xdr:row>0</xdr:row>
      <xdr:rowOff>85725</xdr:rowOff>
    </xdr:from>
    <xdr:to>
      <xdr:col>2</xdr:col>
      <xdr:colOff>1152525</xdr:colOff>
      <xdr:row>1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85725"/>
          <a:ext cx="3429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504825</xdr:colOff>
      <xdr:row>0</xdr:row>
      <xdr:rowOff>95250</xdr:rowOff>
    </xdr:from>
    <xdr:to>
      <xdr:col>2</xdr:col>
      <xdr:colOff>1085850</xdr:colOff>
      <xdr:row>1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95250"/>
          <a:ext cx="5810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т_спортсмены" displayName="т_спортсмены" ref="A1:H64" comment="" totalsRowCount="1">
  <autoFilter ref="A1:H64"/>
  <tableColumns count="8">
    <tableColumn id="2" name="ФИО"/>
    <tableColumn id="3" name="Дата рождения" totalsRowFunction="count"/>
    <tableColumn id="4" name="Разряд, звание" totalsRowFunction="count"/>
    <tableColumn id="7" name="Пол"/>
    <tableColumn id="5" name="Город" totalsRowFunction="count"/>
    <tableColumn id="6" name="спортивный клуб" totalsRowFunction="count"/>
    <tableColumn id="8" name="дата присвоения разряда"/>
    <tableColumn id="1" name="Примечание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id="32" name="т_К4Житог" displayName="т_К4Житог" ref="A11:M16" comment="" totalsRowCount="1">
  <tableColumns count="13">
    <tableColumn id="1" name="№"/>
    <tableColumn id="25" name="№ старта"/>
    <tableColumn id="2" name="Название команды"/>
    <tableColumn id="3" name="1 попытка"/>
    <tableColumn id="4" name="2 попытка"/>
    <tableColumn id="18" name="Итоговое время"/>
    <tableColumn id="19" name="Место"/>
    <tableColumn id="20" name="Итог в баллах"/>
    <tableColumn id="21" name="%  к  рез-ту  1 места "/>
    <tableColumn id="24" name="вспом"/>
    <tableColumn id="23" name="сумма баллов по разрядам"/>
    <tableColumn id="22" name="Вып. норматив" totalsRowFunction="count"/>
    <tableColumn id="5" name="СШИВ"/>
  </tableColumns>
  <tableStyleInfo name="Стиль без форматирования" showFirstColumn="0" showLastColumn="0" showRowStripes="1" showColumnStripes="0"/>
</table>
</file>

<file path=xl/tables/table11.xml><?xml version="1.0" encoding="utf-8"?>
<table xmlns="http://schemas.openxmlformats.org/spreadsheetml/2006/main" id="33" name="т_РСМ1п" displayName="т_РСМ1п" ref="A11:AE18" comment="" totalsRowCount="1">
  <tableColumns count="31">
    <tableColumn id="1" name="№ допуска"/>
    <tableColumn id="25" name="№ старта"/>
    <tableColumn id="2" name="Название команды"/>
    <tableColumn id="3" name="Время старта"/>
    <tableColumn id="4" name="Время финиша"/>
    <tableColumn id="5" name="Бонус"/>
    <tableColumn id="6" name="Время на дистанции"/>
    <tableColumn id="27" name="попытка"/>
    <tableColumn id="7" name="1"/>
    <tableColumn id="8" name="2"/>
    <tableColumn id="9" name="3"/>
    <tableColumn id="28" name="4"/>
    <tableColumn id="17" name="5"/>
    <tableColumn id="19" name="6"/>
    <tableColumn id="20" name="7"/>
    <tableColumn id="29" name="8"/>
    <tableColumn id="30" name="9"/>
    <tableColumn id="31" name="10"/>
    <tableColumn id="32" name="11"/>
    <tableColumn id="33" name="12"/>
    <tableColumn id="10" name="13"/>
    <tableColumn id="11" name="14"/>
    <tableColumn id="12" name="15"/>
    <tableColumn id="13" name="16"/>
    <tableColumn id="14" name="17"/>
    <tableColumn id="34" name="18"/>
    <tableColumn id="35" name="19"/>
    <tableColumn id="26" name="20"/>
    <tableColumn id="15" name="Баллы"/>
    <tableColumn id="16" name="Время"/>
    <tableColumn id="18" name="Итоговое время попытки"/>
  </tableColumns>
  <tableStyleInfo name="TableStyleLight19" showFirstColumn="0" showLastColumn="0" showRowStripes="1" showColumnStripes="0"/>
</table>
</file>

<file path=xl/tables/table12.xml><?xml version="1.0" encoding="utf-8"?>
<table xmlns="http://schemas.openxmlformats.org/spreadsheetml/2006/main" id="34" name="т_РСМ2п" displayName="т_РСМ2п" ref="A11:AE18" comment="" totalsRowCount="1">
  <tableColumns count="31">
    <tableColumn id="1" name="№ допуска"/>
    <tableColumn id="25" name="№ старта"/>
    <tableColumn id="2" name="Название команды"/>
    <tableColumn id="3" name="Время старта"/>
    <tableColumn id="4" name="Время финиша"/>
    <tableColumn id="5" name="Бонус"/>
    <tableColumn id="6" name="Время на дистанции"/>
    <tableColumn id="27" name="попытка"/>
    <tableColumn id="7" name="1"/>
    <tableColumn id="8" name="2"/>
    <tableColumn id="9" name="3"/>
    <tableColumn id="28" name="4"/>
    <tableColumn id="17" name="5"/>
    <tableColumn id="19" name="6"/>
    <tableColumn id="20" name="7"/>
    <tableColumn id="29" name="8"/>
    <tableColumn id="30" name="9"/>
    <tableColumn id="31" name="10"/>
    <tableColumn id="32" name="11"/>
    <tableColumn id="33" name="12"/>
    <tableColumn id="10" name="13"/>
    <tableColumn id="11" name="14"/>
    <tableColumn id="12" name="15"/>
    <tableColumn id="13" name="16"/>
    <tableColumn id="14" name="17"/>
    <tableColumn id="34" name="18"/>
    <tableColumn id="35" name="19"/>
    <tableColumn id="26" name="20"/>
    <tableColumn id="15" name="Баллы"/>
    <tableColumn id="16" name="Время"/>
    <tableColumn id="18" name="Итоговое время попытки"/>
  </tableColumns>
  <tableStyleInfo name="TableStyleLight19" showFirstColumn="0" showLastColumn="0" showRowStripes="1" showColumnStripes="0"/>
</table>
</file>

<file path=xl/tables/table13.xml><?xml version="1.0" encoding="utf-8"?>
<table xmlns="http://schemas.openxmlformats.org/spreadsheetml/2006/main" id="35" name="т_РСМитог" displayName="т_РСМитог" ref="A11:M18" comment="" totalsRowCount="1">
  <tableColumns count="13">
    <tableColumn id="1" name="№"/>
    <tableColumn id="25" name="№ старта"/>
    <tableColumn id="2" name="Название команды"/>
    <tableColumn id="3" name="1 попытка"/>
    <tableColumn id="4" name="2 попытка"/>
    <tableColumn id="18" name="Итоговое время"/>
    <tableColumn id="19" name="Место"/>
    <tableColumn id="20" name="Итог в баллах"/>
    <tableColumn id="21" name="%  к  рез-ту  1 места "/>
    <tableColumn id="24" name="вспом"/>
    <tableColumn id="23" name="сумма баллов по разрядам"/>
    <tableColumn id="22" name="Вып. норматив" totalsRowFunction="count"/>
    <tableColumn id="5" name="СШИВ"/>
  </tableColumns>
  <tableStyleInfo name="Стиль без форматирования" showFirstColumn="0" showLastColumn="0" showRowStripes="1" showColumnStripes="0"/>
</table>
</file>

<file path=xl/tables/table14.xml><?xml version="1.0" encoding="utf-8"?>
<table xmlns="http://schemas.openxmlformats.org/spreadsheetml/2006/main" id="36" name="т_РЖ1п" displayName="т_РЖ1п" ref="A11:AE26" comment="" totalsRowCount="1">
  <tableColumns count="31">
    <tableColumn id="1" name="№ допуска"/>
    <tableColumn id="25" name="№ старта"/>
    <tableColumn id="2" name="Название команды"/>
    <tableColumn id="3" name="Время старта"/>
    <tableColumn id="4" name="Время финиша"/>
    <tableColumn id="5" name="Бонус"/>
    <tableColumn id="6" name="Время на дистанции"/>
    <tableColumn id="27" name="попытка"/>
    <tableColumn id="7" name="1"/>
    <tableColumn id="8" name="2"/>
    <tableColumn id="9" name="3"/>
    <tableColumn id="28" name="4"/>
    <tableColumn id="17" name="5"/>
    <tableColumn id="19" name="6"/>
    <tableColumn id="20" name="7"/>
    <tableColumn id="29" name="8"/>
    <tableColumn id="30" name="9"/>
    <tableColumn id="31" name="10"/>
    <tableColumn id="32" name="11"/>
    <tableColumn id="33" name="12"/>
    <tableColumn id="10" name="13"/>
    <tableColumn id="11" name="14"/>
    <tableColumn id="12" name="15"/>
    <tableColumn id="13" name="16"/>
    <tableColumn id="14" name="17"/>
    <tableColumn id="34" name="18"/>
    <tableColumn id="35" name="19"/>
    <tableColumn id="26" name="20"/>
    <tableColumn id="15" name="Баллы"/>
    <tableColumn id="16" name="Время"/>
    <tableColumn id="18" name="Итоговое время попытки"/>
  </tableColumns>
  <tableStyleInfo name="TableStyleLight19" showFirstColumn="0" showLastColumn="0" showRowStripes="1" showColumnStripes="0"/>
</table>
</file>

<file path=xl/tables/table15.xml><?xml version="1.0" encoding="utf-8"?>
<table xmlns="http://schemas.openxmlformats.org/spreadsheetml/2006/main" id="37" name="т_РЖ2п" displayName="т_РЖ2п" ref="A11:AE26" comment="" totalsRowCount="1">
  <tableColumns count="31">
    <tableColumn id="1" name="№ допуска"/>
    <tableColumn id="25" name="№ старта"/>
    <tableColumn id="2" name="Название команды"/>
    <tableColumn id="3" name="Время старта"/>
    <tableColumn id="4" name="Время финиша"/>
    <tableColumn id="5" name="Бонус"/>
    <tableColumn id="6" name="Время на дистанции"/>
    <tableColumn id="27" name="попытка"/>
    <tableColumn id="7" name="1"/>
    <tableColumn id="8" name="2"/>
    <tableColumn id="9" name="3"/>
    <tableColumn id="28" name="4"/>
    <tableColumn id="17" name="5"/>
    <tableColumn id="19" name="6"/>
    <tableColumn id="20" name="7"/>
    <tableColumn id="29" name="8"/>
    <tableColumn id="30" name="9"/>
    <tableColumn id="31" name="10"/>
    <tableColumn id="32" name="11"/>
    <tableColumn id="33" name="12"/>
    <tableColumn id="10" name="13"/>
    <tableColumn id="11" name="14"/>
    <tableColumn id="12" name="15"/>
    <tableColumn id="13" name="16"/>
    <tableColumn id="14" name="17"/>
    <tableColumn id="34" name="18"/>
    <tableColumn id="35" name="19"/>
    <tableColumn id="26" name="20"/>
    <tableColumn id="15" name="Баллы"/>
    <tableColumn id="16" name="Время"/>
    <tableColumn id="18" name="Итоговое время попытки"/>
  </tableColumns>
  <tableStyleInfo name="TableStyleLight19" showFirstColumn="0" showLastColumn="0" showRowStripes="1" showColumnStripes="0"/>
</table>
</file>

<file path=xl/tables/table16.xml><?xml version="1.0" encoding="utf-8"?>
<table xmlns="http://schemas.openxmlformats.org/spreadsheetml/2006/main" id="38" name="т_РЖитог" displayName="т_РЖитог" ref="A11:M16" comment="" totalsRowCount="1">
  <tableColumns count="13">
    <tableColumn id="1" name="№"/>
    <tableColumn id="25" name="№ старта"/>
    <tableColumn id="2" name="Название команды"/>
    <tableColumn id="3" name="1 попытка"/>
    <tableColumn id="4" name="2 попытка"/>
    <tableColumn id="18" name="Итоговое время"/>
    <tableColumn id="19" name="Место"/>
    <tableColumn id="20" name="Итог в баллах"/>
    <tableColumn id="21" name="%  к  рез-ту  1 места "/>
    <tableColumn id="24" name="вспом"/>
    <tableColumn id="23" name="сумма баллов по разрядам"/>
    <tableColumn id="22" name="Вып. норматив" totalsRowFunction="count"/>
    <tableColumn id="5" name="СШИВ"/>
  </tableColumns>
  <tableStyleInfo name="Стиль без форматирования" showFirstColumn="0" showLastColumn="0" showRowStripes="1" showColumnStripes="0"/>
</table>
</file>

<file path=xl/tables/table17.xml><?xml version="1.0" encoding="utf-8"?>
<table xmlns="http://schemas.openxmlformats.org/spreadsheetml/2006/main" id="39" name="т_Ралли" displayName="т_Ралли" ref="A10:AF15" comment="" totalsRowCount="1">
  <tableColumns count="32">
    <tableColumn id="1" name="№"/>
    <tableColumn id="25" name="№ старта"/>
    <tableColumn id="2" name="Название команды"/>
    <tableColumn id="11" name="Большой Толли"/>
    <tableColumn id="12" name="Красивый берег"/>
    <tableColumn id="13" name="Медицина"/>
    <tableColumn id="14" name="отсечка"/>
    <tableColumn id="15" name="сумма отсечки"/>
    <tableColumn id="8" name="Время старта"/>
    <tableColumn id="9" name="Время финиша"/>
    <tableColumn id="7" name="Время на дистанции"/>
    <tableColumn id="10" name="Превышение КВ"/>
    <tableColumn id="6" name="Бонусы, баллов"/>
    <tableColumn id="3" name="Бонусы, сек"/>
    <tableColumn id="33" name="1 Этап"/>
    <tableColumn id="34" name="2 Этап"/>
    <tableColumn id="35" name="3 Этап"/>
    <tableColumn id="36" name="4/1"/>
    <tableColumn id="16" name="4/2"/>
    <tableColumn id="17" name="4/3"/>
    <tableColumn id="26" name="5 Этап"/>
    <tableColumn id="27" name="превыш.КВ"/>
    <tableColumn id="28" name="Штрафы, баллов"/>
    <tableColumn id="29" name="Штрафы, сек"/>
    <tableColumn id="30" name="Суммарное время"/>
    <tableColumn id="31" name="Место"/>
    <tableColumn id="32" name="Баллов за этап"/>
    <tableColumn id="21" name="%  к  рез-ту  1 места "/>
    <tableColumn id="24" name="вспом"/>
    <tableColumn id="23" name="сумма баллов по разрядам"/>
    <tableColumn id="22" name="Вып. норматив" totalsRowFunction="count"/>
    <tableColumn id="5" name="СШИВ"/>
  </tableColumns>
  <tableStyleInfo name="Стиль без форматирования" showFirstColumn="0" showLastColumn="0" showRowStripes="1" showColumnStripes="0"/>
</table>
</file>

<file path=xl/tables/table18.xml><?xml version="1.0" encoding="utf-8"?>
<table xmlns="http://schemas.openxmlformats.org/spreadsheetml/2006/main" id="18" name="т_КаякМ_Китай" displayName="т_КаякМ_Китай" ref="A11:O22" comment="" totalsRowCount="1">
  <tableColumns count="15">
    <tableColumn id="1" name="№"/>
    <tableColumn id="25" name="№ старта"/>
    <tableColumn id="2" name="Название команды"/>
    <tableColumn id="3" name="Время старта"/>
    <tableColumn id="4" name="Время финиша"/>
    <tableColumn id="5" name="Бонус"/>
    <tableColumn id="6" name="Время на дистанции"/>
    <tableColumn id="27" name="попытка"/>
    <tableColumn id="7" name="1"/>
    <tableColumn id="8" name="2"/>
    <tableColumn id="9" name="3"/>
    <tableColumn id="15" name="Баллы"/>
    <tableColumn id="16" name="Время"/>
    <tableColumn id="10" name="Итоговое время"/>
    <tableColumn id="18" name="Место"/>
  </tableColumns>
  <tableStyleInfo name="TableStyleLight19" showFirstColumn="0" showLastColumn="0" showRowStripes="1" showColumnStripes="0"/>
</table>
</file>

<file path=xl/tables/table19.xml><?xml version="1.0" encoding="utf-8"?>
<table xmlns="http://schemas.openxmlformats.org/spreadsheetml/2006/main" id="10" name="т_КаякЖ_Китай" displayName="т_КаякЖ_Китай" ref="A11:O15" comment="" totalsRowCount="1">
  <tableColumns count="15">
    <tableColumn id="1" name="№"/>
    <tableColumn id="25" name="№ старта"/>
    <tableColumn id="2" name="Название команды"/>
    <tableColumn id="3" name="Время старта"/>
    <tableColumn id="4" name="Время финиша"/>
    <tableColumn id="5" name="Бонус"/>
    <tableColumn id="6" name="Время на дистанции"/>
    <tableColumn id="27" name="попытка"/>
    <tableColumn id="7" name="1"/>
    <tableColumn id="8" name="2"/>
    <tableColumn id="9" name="3"/>
    <tableColumn id="15" name="Баллы"/>
    <tableColumn id="16" name="Время"/>
    <tableColumn id="10" name="Итоговое время"/>
    <tableColumn id="18" name="Место"/>
  </tableColumns>
  <tableStyleInfo name="TableStyleLight19" showFirstColumn="0" showLastColumn="0" showRowStripes="1" showColumnStripes="0"/>
</table>
</file>

<file path=xl/tables/table2.xml><?xml version="1.0" encoding="utf-8"?>
<table xmlns="http://schemas.openxmlformats.org/spreadsheetml/2006/main" id="15" name="т_КаякЖ1п" displayName="т_КаякЖ1п" ref="A11:AE26" comment="" totalsRowCount="1">
  <tableColumns count="31">
    <tableColumn id="1" name="№ допуска"/>
    <tableColumn id="25" name="№ старта"/>
    <tableColumn id="2" name="Название команды"/>
    <tableColumn id="3" name="Время старта"/>
    <tableColumn id="4" name="Время финиша"/>
    <tableColumn id="5" name="Бонус"/>
    <tableColumn id="6" name="Время на дистанции"/>
    <tableColumn id="27" name="попытка"/>
    <tableColumn id="7" name="1"/>
    <tableColumn id="8" name="2"/>
    <tableColumn id="9" name="3"/>
    <tableColumn id="28" name="4"/>
    <tableColumn id="17" name="5"/>
    <tableColumn id="19" name="6"/>
    <tableColumn id="20" name="7"/>
    <tableColumn id="29" name="8"/>
    <tableColumn id="30" name="9"/>
    <tableColumn id="31" name="10"/>
    <tableColumn id="32" name="11"/>
    <tableColumn id="33" name="12"/>
    <tableColumn id="10" name="13"/>
    <tableColumn id="11" name="14"/>
    <tableColumn id="12" name="15"/>
    <tableColumn id="13" name="16"/>
    <tableColumn id="14" name="17"/>
    <tableColumn id="34" name="18"/>
    <tableColumn id="35" name="19"/>
    <tableColumn id="26" name="20"/>
    <tableColumn id="15" name="Баллы"/>
    <tableColumn id="16" name="Время"/>
    <tableColumn id="18" name="Итоговое время попытки"/>
  </tableColumns>
  <tableStyleInfo name="TableStyleLight19" showFirstColumn="0" showLastColumn="0" showRowStripes="1" showColumnStripes="0"/>
</table>
</file>

<file path=xl/tables/table20.xml><?xml version="1.0" encoding="utf-8"?>
<table xmlns="http://schemas.openxmlformats.org/spreadsheetml/2006/main" id="11" name="т_КатИтог" displayName="т_КатИтог" ref="A11:N25" comment="" totalsRowCount="1">
  <autoFilter ref="A11:N25"/>
  <tableColumns count="14">
    <tableColumn id="1" name="№"/>
    <tableColumn id="25" name="№ старта"/>
    <tableColumn id="2" name="Название команды"/>
    <tableColumn id="3" name="Ралли, баллы"/>
    <tableColumn id="4" name="Короткая дистанция, баллы"/>
    <tableColumn id="5" name="пром.ранг"/>
    <tableColumn id="6" name="Сумма баллов"/>
    <tableColumn id="7" name="Место"/>
    <tableColumn id="8" name="%  к  рез-ту  1 места "/>
    <tableColumn id="9" name="Выпполн._x000A_норматив"/>
    <tableColumn id="24" name="вспом"/>
    <tableColumn id="23" name="сумма баллов по разрядам"/>
    <tableColumn id="10" name="РС"/>
    <tableColumn id="11" name="место2"/>
  </tableColumns>
  <tableStyleInfo name="TableStyleLight19" showFirstColumn="0" showLastColumn="0" showRowStripes="1" showColumnStripes="0"/>
</table>
</file>

<file path=xl/tables/table3.xml><?xml version="1.0" encoding="utf-8"?>
<table xmlns="http://schemas.openxmlformats.org/spreadsheetml/2006/main" id="16" name="т_КаякЖ2п" displayName="т_КаякЖ2п" ref="A11:AE26" comment="" totalsRowCount="1">
  <tableColumns count="31">
    <tableColumn id="1" name="№ допуска"/>
    <tableColumn id="25" name="№ старта"/>
    <tableColumn id="2" name="Название команды"/>
    <tableColumn id="3" name="Время старта"/>
    <tableColumn id="4" name="Время финиша"/>
    <tableColumn id="5" name="Бонус"/>
    <tableColumn id="6" name="Время на дистанции"/>
    <tableColumn id="27" name="попытка"/>
    <tableColumn id="7" name="1"/>
    <tableColumn id="8" name="2"/>
    <tableColumn id="9" name="3"/>
    <tableColumn id="28" name="4"/>
    <tableColumn id="17" name="5"/>
    <tableColumn id="19" name="6"/>
    <tableColumn id="20" name="7"/>
    <tableColumn id="29" name="8"/>
    <tableColumn id="30" name="9"/>
    <tableColumn id="31" name="10"/>
    <tableColumn id="32" name="11"/>
    <tableColumn id="33" name="12"/>
    <tableColumn id="10" name="13"/>
    <tableColumn id="11" name="14"/>
    <tableColumn id="12" name="15"/>
    <tableColumn id="13" name="16"/>
    <tableColumn id="14" name="17"/>
    <tableColumn id="34" name="18"/>
    <tableColumn id="35" name="19"/>
    <tableColumn id="26" name="20"/>
    <tableColumn id="15" name="Баллы"/>
    <tableColumn id="16" name="Время"/>
    <tableColumn id="18" name="Итоговое время попытки"/>
  </tableColumns>
  <tableStyleInfo name="TableStyleLight19" showFirstColumn="0" showLastColumn="0" showRowStripes="1" showColumnStripes="0"/>
</table>
</file>

<file path=xl/tables/table4.xml><?xml version="1.0" encoding="utf-8"?>
<table xmlns="http://schemas.openxmlformats.org/spreadsheetml/2006/main" id="17" name="т_КаякЖитог" displayName="т_КаякЖитог" ref="A11:M16" comment="" totalsRowCount="1">
  <tableColumns count="13">
    <tableColumn id="1" name="№"/>
    <tableColumn id="25" name="№ старта"/>
    <tableColumn id="2" name="Название команды"/>
    <tableColumn id="3" name="1 попытка"/>
    <tableColumn id="4" name="2 попытка"/>
    <tableColumn id="18" name="Итоговое время"/>
    <tableColumn id="19" name="Место"/>
    <tableColumn id="20" name="Итог в баллах"/>
    <tableColumn id="21" name="%  к  рез-ту  1 места "/>
    <tableColumn id="24" name="вспом"/>
    <tableColumn id="23" name="сумма баллов по разрядам"/>
    <tableColumn id="22" name="Вып. норматив" totalsRowFunction="count"/>
    <tableColumn id="5" name="СШИВ"/>
  </tableColumns>
  <tableStyleInfo name="Стиль без форматирования" showFirstColumn="0" showLastColumn="0" showRowStripes="1" showColumnStripes="0"/>
</table>
</file>

<file path=xl/tables/table5.xml><?xml version="1.0" encoding="utf-8"?>
<table xmlns="http://schemas.openxmlformats.org/spreadsheetml/2006/main" id="23" name="т_К2Ж1п" displayName="т_К2Ж1п" ref="A11:AE26" comment="" totalsRowCount="1">
  <tableColumns count="31">
    <tableColumn id="1" name="№ допуска"/>
    <tableColumn id="25" name="№ старта"/>
    <tableColumn id="2" name="Название команды"/>
    <tableColumn id="3" name="Время старта"/>
    <tableColumn id="4" name="Время финиша"/>
    <tableColumn id="5" name="Бонус"/>
    <tableColumn id="6" name="Время на дистанции"/>
    <tableColumn id="27" name="попытка"/>
    <tableColumn id="7" name="1"/>
    <tableColumn id="8" name="2"/>
    <tableColumn id="9" name="3"/>
    <tableColumn id="28" name="4"/>
    <tableColumn id="17" name="5"/>
    <tableColumn id="19" name="6"/>
    <tableColumn id="20" name="7"/>
    <tableColumn id="29" name="8"/>
    <tableColumn id="30" name="9"/>
    <tableColumn id="31" name="10"/>
    <tableColumn id="32" name="11"/>
    <tableColumn id="33" name="12"/>
    <tableColumn id="10" name="13"/>
    <tableColumn id="11" name="14"/>
    <tableColumn id="12" name="15"/>
    <tableColumn id="13" name="16"/>
    <tableColumn id="14" name="17"/>
    <tableColumn id="34" name="18"/>
    <tableColumn id="35" name="19"/>
    <tableColumn id="26" name="20"/>
    <tableColumn id="15" name="Баллы"/>
    <tableColumn id="16" name="Время"/>
    <tableColumn id="18" name="Итоговое время попытки"/>
  </tableColumns>
  <tableStyleInfo name="TableStyleLight19" showFirstColumn="0" showLastColumn="0" showRowStripes="1" showColumnStripes="0"/>
</table>
</file>

<file path=xl/tables/table6.xml><?xml version="1.0" encoding="utf-8"?>
<table xmlns="http://schemas.openxmlformats.org/spreadsheetml/2006/main" id="24" name="т_К2Ж2п" displayName="т_К2Ж2п" ref="A11:AE26" comment="" totalsRowCount="1">
  <tableColumns count="31">
    <tableColumn id="1" name="№ допуска"/>
    <tableColumn id="25" name="№ старта"/>
    <tableColumn id="2" name="Название команды"/>
    <tableColumn id="3" name="Время старта"/>
    <tableColumn id="4" name="Время финиша"/>
    <tableColumn id="5" name="Бонус"/>
    <tableColumn id="6" name="Время на дистанции"/>
    <tableColumn id="27" name="попытка"/>
    <tableColumn id="7" name="1"/>
    <tableColumn id="8" name="2"/>
    <tableColumn id="9" name="3"/>
    <tableColumn id="28" name="4"/>
    <tableColumn id="17" name="5"/>
    <tableColumn id="19" name="6"/>
    <tableColumn id="20" name="7"/>
    <tableColumn id="29" name="8"/>
    <tableColumn id="30" name="9"/>
    <tableColumn id="31" name="10"/>
    <tableColumn id="32" name="11"/>
    <tableColumn id="33" name="12"/>
    <tableColumn id="10" name="13"/>
    <tableColumn id="11" name="14"/>
    <tableColumn id="12" name="15"/>
    <tableColumn id="13" name="16"/>
    <tableColumn id="14" name="17"/>
    <tableColumn id="34" name="18"/>
    <tableColumn id="35" name="19"/>
    <tableColumn id="26" name="20"/>
    <tableColumn id="15" name="Баллы"/>
    <tableColumn id="16" name="Время"/>
    <tableColumn id="18" name="Итоговое время попытки"/>
  </tableColumns>
  <tableStyleInfo name="TableStyleLight19" showFirstColumn="0" showLastColumn="0" showRowStripes="1" showColumnStripes="0"/>
</table>
</file>

<file path=xl/tables/table7.xml><?xml version="1.0" encoding="utf-8"?>
<table xmlns="http://schemas.openxmlformats.org/spreadsheetml/2006/main" id="25" name="т_К2Житог" displayName="т_К2Житог" ref="A11:M16" comment="" totalsRowCount="1">
  <tableColumns count="13">
    <tableColumn id="1" name="№"/>
    <tableColumn id="25" name="№ старта"/>
    <tableColumn id="2" name="Название команды"/>
    <tableColumn id="3" name="1 попытка"/>
    <tableColumn id="4" name="2 попытка"/>
    <tableColumn id="18" name="Итоговое время"/>
    <tableColumn id="19" name="Место"/>
    <tableColumn id="20" name="Итог в баллах"/>
    <tableColumn id="21" name="%  к  рез-ту  1 места "/>
    <tableColumn id="24" name="вспом"/>
    <tableColumn id="23" name="сумма баллов по разрядам"/>
    <tableColumn id="22" name="Вып. норматив" totalsRowFunction="count"/>
    <tableColumn id="5" name="СШИВ"/>
  </tableColumns>
  <tableStyleInfo name="Стиль без форматирования" showFirstColumn="0" showLastColumn="0" showRowStripes="1" showColumnStripes="0"/>
</table>
</file>

<file path=xl/tables/table8.xml><?xml version="1.0" encoding="utf-8"?>
<table xmlns="http://schemas.openxmlformats.org/spreadsheetml/2006/main" id="30" name="т_К4Ж1п" displayName="т_К4Ж1п" ref="A11:AE26" comment="" totalsRowCount="1">
  <tableColumns count="31">
    <tableColumn id="1" name="№ допуска"/>
    <tableColumn id="25" name="№ старта"/>
    <tableColumn id="2" name="Название команды"/>
    <tableColumn id="3" name="Время старта"/>
    <tableColumn id="4" name="Время финиша"/>
    <tableColumn id="5" name="Бонус"/>
    <tableColumn id="6" name="Время на дистанции"/>
    <tableColumn id="27" name="попытка"/>
    <tableColumn id="7" name="1"/>
    <tableColumn id="8" name="2"/>
    <tableColumn id="9" name="3"/>
    <tableColumn id="28" name="4"/>
    <tableColumn id="17" name="5"/>
    <tableColumn id="19" name="6"/>
    <tableColumn id="20" name="7"/>
    <tableColumn id="29" name="8"/>
    <tableColumn id="30" name="9"/>
    <tableColumn id="31" name="10"/>
    <tableColumn id="32" name="11"/>
    <tableColumn id="33" name="12"/>
    <tableColumn id="10" name="13"/>
    <tableColumn id="11" name="14"/>
    <tableColumn id="12" name="15"/>
    <tableColumn id="13" name="16"/>
    <tableColumn id="14" name="17"/>
    <tableColumn id="34" name="18"/>
    <tableColumn id="35" name="19"/>
    <tableColumn id="26" name="20"/>
    <tableColumn id="15" name="Баллы"/>
    <tableColumn id="16" name="Время"/>
    <tableColumn id="18" name="Итоговое время попытки"/>
  </tableColumns>
  <tableStyleInfo name="TableStyleLight19" showFirstColumn="0" showLastColumn="0" showRowStripes="1" showColumnStripes="0"/>
</table>
</file>

<file path=xl/tables/table9.xml><?xml version="1.0" encoding="utf-8"?>
<table xmlns="http://schemas.openxmlformats.org/spreadsheetml/2006/main" id="31" name="т_К4Ж2п" displayName="т_К4Ж2п" ref="A11:AE26" comment="" totalsRowCount="1">
  <tableColumns count="31">
    <tableColumn id="1" name="№ допуска"/>
    <tableColumn id="25" name="№ старта"/>
    <tableColumn id="2" name="Название команды"/>
    <tableColumn id="3" name="Время старта"/>
    <tableColumn id="4" name="Время финиша"/>
    <tableColumn id="5" name="Бонус"/>
    <tableColumn id="6" name="Время на дистанции"/>
    <tableColumn id="27" name="попытка"/>
    <tableColumn id="7" name="1"/>
    <tableColumn id="8" name="2"/>
    <tableColumn id="9" name="3"/>
    <tableColumn id="28" name="4"/>
    <tableColumn id="17" name="5"/>
    <tableColumn id="19" name="6"/>
    <tableColumn id="20" name="7"/>
    <tableColumn id="29" name="8"/>
    <tableColumn id="30" name="9"/>
    <tableColumn id="31" name="10"/>
    <tableColumn id="32" name="11"/>
    <tableColumn id="33" name="12"/>
    <tableColumn id="10" name="13"/>
    <tableColumn id="11" name="14"/>
    <tableColumn id="12" name="15"/>
    <tableColumn id="13" name="16"/>
    <tableColumn id="14" name="17"/>
    <tableColumn id="34" name="18"/>
    <tableColumn id="35" name="19"/>
    <tableColumn id="26" name="20"/>
    <tableColumn id="15" name="Баллы"/>
    <tableColumn id="16" name="Время"/>
    <tableColumn id="18" name="Итоговое время попытки"/>
  </tableColumns>
  <tableStyleInfo name="TableStyleLight1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7.vml" /><Relationship Id="rId3" Type="http://schemas.openxmlformats.org/officeDocument/2006/relationships/table" Target="../tables/table8.xml" /><Relationship Id="rId4" Type="http://schemas.openxmlformats.org/officeDocument/2006/relationships/drawing" Target="../drawings/drawing7.xml" /><Relationship Id="rId5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8.vml" /><Relationship Id="rId3" Type="http://schemas.openxmlformats.org/officeDocument/2006/relationships/table" Target="../tables/table9.xml" /><Relationship Id="rId4" Type="http://schemas.openxmlformats.org/officeDocument/2006/relationships/drawing" Target="../drawings/drawing8.xml" /><Relationship Id="rId5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9.vml" /><Relationship Id="rId3" Type="http://schemas.openxmlformats.org/officeDocument/2006/relationships/table" Target="../tables/table10.xml" /><Relationship Id="rId4" Type="http://schemas.openxmlformats.org/officeDocument/2006/relationships/drawing" Target="../drawings/drawing9.xml" /><Relationship Id="rId5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0.vml" /><Relationship Id="rId3" Type="http://schemas.openxmlformats.org/officeDocument/2006/relationships/table" Target="../tables/table11.xml" /><Relationship Id="rId4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1.vml" /><Relationship Id="rId3" Type="http://schemas.openxmlformats.org/officeDocument/2006/relationships/table" Target="../tables/table12.xml" /><Relationship Id="rId4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2.vml" /><Relationship Id="rId3" Type="http://schemas.openxmlformats.org/officeDocument/2006/relationships/table" Target="../tables/table13.xml" /><Relationship Id="rId4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3.vml" /><Relationship Id="rId3" Type="http://schemas.openxmlformats.org/officeDocument/2006/relationships/table" Target="../tables/table14.xml" /><Relationship Id="rId4" Type="http://schemas.openxmlformats.org/officeDocument/2006/relationships/drawing" Target="../drawings/drawing10.xml" /><Relationship Id="rId5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4.vml" /><Relationship Id="rId3" Type="http://schemas.openxmlformats.org/officeDocument/2006/relationships/table" Target="../tables/table15.xml" /><Relationship Id="rId4" Type="http://schemas.openxmlformats.org/officeDocument/2006/relationships/drawing" Target="../drawings/drawing11.xml" /><Relationship Id="rId5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15.vml" /><Relationship Id="rId3" Type="http://schemas.openxmlformats.org/officeDocument/2006/relationships/table" Target="../tables/table16.xml" /><Relationship Id="rId4" Type="http://schemas.openxmlformats.org/officeDocument/2006/relationships/drawing" Target="../drawings/drawing12.xml" /><Relationship Id="rId5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16.vml" /><Relationship Id="rId3" Type="http://schemas.openxmlformats.org/officeDocument/2006/relationships/table" Target="../tables/table17.xml" /><Relationship Id="rId4" Type="http://schemas.openxmlformats.org/officeDocument/2006/relationships/drawing" Target="../drawings/drawing13.xml" /><Relationship Id="rId5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table" Target="../tables/table18.xml" /><Relationship Id="rId2" Type="http://schemas.openxmlformats.org/officeDocument/2006/relationships/drawing" Target="../drawings/drawing14.xml" /><Relationship Id="rId3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table" Target="../tables/table19.xml" /><Relationship Id="rId2" Type="http://schemas.openxmlformats.org/officeDocument/2006/relationships/drawing" Target="../drawings/drawing15.xml" /><Relationship Id="rId3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comments" Target="../comments24.xml" /><Relationship Id="rId2" Type="http://schemas.openxmlformats.org/officeDocument/2006/relationships/vmlDrawing" Target="../drawings/vmlDrawing17.vml" /><Relationship Id="rId3" Type="http://schemas.openxmlformats.org/officeDocument/2006/relationships/table" Target="../tables/table20.xml" /><Relationship Id="rId4" Type="http://schemas.openxmlformats.org/officeDocument/2006/relationships/drawing" Target="../drawings/drawing16.xml" /><Relationship Id="rId5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2.x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table" Target="../tables/table3.x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table" Target="../tables/table4.xm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table" Target="../tables/table5.xml" /><Relationship Id="rId4" Type="http://schemas.openxmlformats.org/officeDocument/2006/relationships/drawing" Target="../drawings/drawing4.xml" /><Relationship Id="rId5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5.vml" /><Relationship Id="rId3" Type="http://schemas.openxmlformats.org/officeDocument/2006/relationships/table" Target="../tables/table6.xml" /><Relationship Id="rId4" Type="http://schemas.openxmlformats.org/officeDocument/2006/relationships/drawing" Target="../drawings/drawing5.xml" /><Relationship Id="rId5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6.vml" /><Relationship Id="rId3" Type="http://schemas.openxmlformats.org/officeDocument/2006/relationships/table" Target="../tables/table7.xml" /><Relationship Id="rId4" Type="http://schemas.openxmlformats.org/officeDocument/2006/relationships/drawing" Target="../drawings/drawing6.xml" /><Relationship Id="rId5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M64"/>
  <sheetViews>
    <sheetView zoomScalePageLayoutView="0" workbookViewId="0" topLeftCell="A1">
      <selection activeCell="O5" sqref="O5"/>
    </sheetView>
  </sheetViews>
  <sheetFormatPr defaultColWidth="9.140625" defaultRowHeight="15" outlineLevelCol="1"/>
  <cols>
    <col min="1" max="1" width="52.00390625" style="41" customWidth="1"/>
    <col min="2" max="2" width="16.8515625" style="41" customWidth="1"/>
    <col min="3" max="3" width="22.57421875" style="42" customWidth="1"/>
    <col min="4" max="4" width="12.8515625" style="42" hidden="1" customWidth="1" outlineLevel="1"/>
    <col min="5" max="5" width="14.8515625" style="0" hidden="1" customWidth="1" outlineLevel="1"/>
    <col min="6" max="6" width="20.421875" style="41" hidden="1" customWidth="1" outlineLevel="1"/>
    <col min="7" max="7" width="18.8515625" style="41" hidden="1" customWidth="1" outlineLevel="1"/>
    <col min="8" max="8" width="26.140625" style="41" hidden="1" customWidth="1" outlineLevel="1"/>
    <col min="9" max="9" width="22.140625" style="42" customWidth="1" collapsed="1"/>
    <col min="10" max="12" width="0" style="0" hidden="1" customWidth="1" outlineLevel="1"/>
    <col min="13" max="13" width="31.00390625" style="0" hidden="1" customWidth="1" outlineLevel="1"/>
    <col min="14" max="14" width="48.140625" style="0" hidden="1" customWidth="1" outlineLevel="1"/>
    <col min="15" max="15" width="9.140625" style="0" customWidth="1" collapsed="1"/>
  </cols>
  <sheetData>
    <row r="1" spans="1:13" ht="15">
      <c r="A1" s="41" t="s">
        <v>66</v>
      </c>
      <c r="B1" s="41" t="s">
        <v>74</v>
      </c>
      <c r="C1" s="42" t="s">
        <v>72</v>
      </c>
      <c r="D1" s="42" t="s">
        <v>10</v>
      </c>
      <c r="E1" s="41" t="s">
        <v>73</v>
      </c>
      <c r="F1" s="41" t="s">
        <v>67</v>
      </c>
      <c r="G1" s="41" t="s">
        <v>68</v>
      </c>
      <c r="H1" s="42" t="s">
        <v>28</v>
      </c>
      <c r="I1"/>
      <c r="L1" s="24" t="s">
        <v>96</v>
      </c>
      <c r="M1" s="24" t="s">
        <v>95</v>
      </c>
    </row>
    <row r="2" spans="1:13" ht="15">
      <c r="A2" s="41" t="s">
        <v>97</v>
      </c>
      <c r="B2" s="46">
        <v>31413</v>
      </c>
      <c r="C2" s="42" t="s">
        <v>58</v>
      </c>
      <c r="D2" s="42" t="s">
        <v>132</v>
      </c>
      <c r="E2" s="41"/>
      <c r="H2" s="42"/>
      <c r="I2" s="24"/>
      <c r="L2" s="24" t="e">
        <f aca="true" t="shared" si="0" ref="L2:L7">MID(A2,SEARCH($J$4,A2)+1,SEARCH($K$4,A2,SEARCH($J$4,A2)+1)-SEARCH($J$4,A2)-1)</f>
        <v>#VALUE!</v>
      </c>
      <c r="M2" s="24" t="e">
        <f>MID(A2,1,SEARCH($J$4,A2)-1)</f>
        <v>#VALUE!</v>
      </c>
    </row>
    <row r="3" spans="1:13" ht="15">
      <c r="A3" s="41" t="s">
        <v>98</v>
      </c>
      <c r="B3" s="46">
        <v>30311</v>
      </c>
      <c r="C3" s="42" t="s">
        <v>52</v>
      </c>
      <c r="D3" s="42" t="s">
        <v>132</v>
      </c>
      <c r="E3" s="41"/>
      <c r="H3" s="42"/>
      <c r="I3"/>
      <c r="L3" s="24" t="e">
        <f t="shared" si="0"/>
        <v>#VALUE!</v>
      </c>
      <c r="M3" s="24" t="e">
        <f aca="true" t="shared" si="1" ref="M3:M53">MID(A3,1,SEARCH($J$4,A3)-1)</f>
        <v>#VALUE!</v>
      </c>
    </row>
    <row r="4" spans="1:13" ht="15">
      <c r="A4" s="41" t="s">
        <v>99</v>
      </c>
      <c r="B4" s="46">
        <v>29249</v>
      </c>
      <c r="C4" s="42" t="s">
        <v>58</v>
      </c>
      <c r="D4" s="42" t="s">
        <v>132</v>
      </c>
      <c r="E4" s="41"/>
      <c r="H4" s="42"/>
      <c r="I4"/>
      <c r="J4" s="24" t="s">
        <v>93</v>
      </c>
      <c r="K4" s="24" t="s">
        <v>94</v>
      </c>
      <c r="L4" s="24" t="e">
        <f t="shared" si="0"/>
        <v>#VALUE!</v>
      </c>
      <c r="M4" s="24" t="e">
        <f t="shared" si="1"/>
        <v>#VALUE!</v>
      </c>
    </row>
    <row r="5" spans="1:13" ht="15">
      <c r="A5" s="41" t="s">
        <v>100</v>
      </c>
      <c r="B5" s="46">
        <v>32247</v>
      </c>
      <c r="C5" s="42" t="s">
        <v>58</v>
      </c>
      <c r="D5" s="42" t="s">
        <v>132</v>
      </c>
      <c r="E5" s="41"/>
      <c r="H5" s="42"/>
      <c r="I5"/>
      <c r="L5" s="24" t="e">
        <f t="shared" si="0"/>
        <v>#VALUE!</v>
      </c>
      <c r="M5" s="24" t="e">
        <f t="shared" si="1"/>
        <v>#VALUE!</v>
      </c>
    </row>
    <row r="6" spans="1:13" ht="15">
      <c r="A6" s="41" t="s">
        <v>69</v>
      </c>
      <c r="B6" s="46">
        <v>31486</v>
      </c>
      <c r="C6" s="42" t="s">
        <v>52</v>
      </c>
      <c r="D6" s="42" t="s">
        <v>132</v>
      </c>
      <c r="E6" s="41" t="s">
        <v>70</v>
      </c>
      <c r="H6" s="42"/>
      <c r="I6"/>
      <c r="L6" s="24" t="e">
        <f t="shared" si="0"/>
        <v>#VALUE!</v>
      </c>
      <c r="M6" s="24" t="e">
        <f t="shared" si="1"/>
        <v>#VALUE!</v>
      </c>
    </row>
    <row r="7" spans="1:13" ht="15">
      <c r="A7" s="41" t="s">
        <v>101</v>
      </c>
      <c r="B7" s="46">
        <v>29496</v>
      </c>
      <c r="C7" s="42" t="s">
        <v>53</v>
      </c>
      <c r="D7" s="42" t="s">
        <v>132</v>
      </c>
      <c r="E7" s="41"/>
      <c r="H7" s="42"/>
      <c r="I7"/>
      <c r="L7" s="24" t="e">
        <f t="shared" si="0"/>
        <v>#VALUE!</v>
      </c>
      <c r="M7" s="24" t="e">
        <f t="shared" si="1"/>
        <v>#VALUE!</v>
      </c>
    </row>
    <row r="8" spans="1:13" ht="15">
      <c r="A8" s="41" t="s">
        <v>102</v>
      </c>
      <c r="B8" s="46">
        <v>31697</v>
      </c>
      <c r="C8" s="42" t="s">
        <v>52</v>
      </c>
      <c r="D8" s="42" t="s">
        <v>132</v>
      </c>
      <c r="E8" s="41"/>
      <c r="H8" s="42"/>
      <c r="I8"/>
      <c r="L8" s="24" t="e">
        <f aca="true" t="shared" si="2" ref="L8:L53">MID(A8,SEARCH($J$4,A8)+1,SEARCH($K$4,A8,SEARCH($J$4,A8)+1)-SEARCH($J$4,A8)-1)</f>
        <v>#VALUE!</v>
      </c>
      <c r="M8" s="24" t="e">
        <f t="shared" si="1"/>
        <v>#VALUE!</v>
      </c>
    </row>
    <row r="9" spans="1:13" ht="15">
      <c r="A9" s="41" t="s">
        <v>103</v>
      </c>
      <c r="B9" s="46">
        <v>32957</v>
      </c>
      <c r="C9" s="42" t="s">
        <v>52</v>
      </c>
      <c r="D9" s="42" t="s">
        <v>133</v>
      </c>
      <c r="E9" s="41"/>
      <c r="H9" s="42"/>
      <c r="I9"/>
      <c r="L9" s="24" t="e">
        <f t="shared" si="2"/>
        <v>#VALUE!</v>
      </c>
      <c r="M9" s="24" t="e">
        <f t="shared" si="1"/>
        <v>#VALUE!</v>
      </c>
    </row>
    <row r="10" spans="1:13" ht="15">
      <c r="A10" s="41" t="s">
        <v>104</v>
      </c>
      <c r="B10" s="46">
        <v>30750</v>
      </c>
      <c r="C10" s="42" t="s">
        <v>51</v>
      </c>
      <c r="D10" s="42" t="s">
        <v>132</v>
      </c>
      <c r="E10" s="41"/>
      <c r="H10" s="42"/>
      <c r="I10"/>
      <c r="L10" s="24" t="e">
        <f t="shared" si="2"/>
        <v>#VALUE!</v>
      </c>
      <c r="M10" s="24" t="e">
        <f t="shared" si="1"/>
        <v>#VALUE!</v>
      </c>
    </row>
    <row r="11" spans="1:13" ht="15">
      <c r="A11" s="41" t="s">
        <v>82</v>
      </c>
      <c r="B11" s="46"/>
      <c r="C11" s="42" t="s">
        <v>53</v>
      </c>
      <c r="D11" s="42" t="s">
        <v>132</v>
      </c>
      <c r="E11" s="41"/>
      <c r="H11" s="42"/>
      <c r="I11"/>
      <c r="L11" s="24" t="e">
        <f t="shared" si="2"/>
        <v>#VALUE!</v>
      </c>
      <c r="M11" s="24" t="e">
        <f t="shared" si="1"/>
        <v>#VALUE!</v>
      </c>
    </row>
    <row r="12" spans="1:13" ht="15">
      <c r="A12" s="41" t="s">
        <v>105</v>
      </c>
      <c r="B12" s="46">
        <v>31456</v>
      </c>
      <c r="C12" s="42" t="s">
        <v>52</v>
      </c>
      <c r="D12" s="42" t="s">
        <v>132</v>
      </c>
      <c r="E12" s="41"/>
      <c r="H12" s="42"/>
      <c r="I12"/>
      <c r="L12" s="24" t="e">
        <f t="shared" si="2"/>
        <v>#VALUE!</v>
      </c>
      <c r="M12" s="24" t="e">
        <f t="shared" si="1"/>
        <v>#VALUE!</v>
      </c>
    </row>
    <row r="13" spans="1:13" ht="15">
      <c r="A13" s="41" t="s">
        <v>106</v>
      </c>
      <c r="B13" s="46">
        <v>31276</v>
      </c>
      <c r="C13" s="42" t="s">
        <v>58</v>
      </c>
      <c r="D13" s="42" t="s">
        <v>132</v>
      </c>
      <c r="E13" s="41"/>
      <c r="H13" s="42"/>
      <c r="I13"/>
      <c r="L13" s="24" t="e">
        <f t="shared" si="2"/>
        <v>#VALUE!</v>
      </c>
      <c r="M13" s="24" t="e">
        <f t="shared" si="1"/>
        <v>#VALUE!</v>
      </c>
    </row>
    <row r="14" spans="1:13" ht="15">
      <c r="A14" s="41" t="s">
        <v>78</v>
      </c>
      <c r="B14" s="46"/>
      <c r="C14" s="42" t="s">
        <v>58</v>
      </c>
      <c r="D14" s="42" t="s">
        <v>132</v>
      </c>
      <c r="E14" s="41"/>
      <c r="H14" s="42"/>
      <c r="I14"/>
      <c r="L14" s="24" t="e">
        <f t="shared" si="2"/>
        <v>#VALUE!</v>
      </c>
      <c r="M14" s="24" t="e">
        <f t="shared" si="1"/>
        <v>#VALUE!</v>
      </c>
    </row>
    <row r="15" spans="1:13" ht="15">
      <c r="A15" s="41" t="s">
        <v>107</v>
      </c>
      <c r="B15" s="46">
        <v>32572</v>
      </c>
      <c r="C15" s="42" t="s">
        <v>53</v>
      </c>
      <c r="D15" s="42" t="s">
        <v>132</v>
      </c>
      <c r="E15" s="41"/>
      <c r="H15" s="42"/>
      <c r="I15"/>
      <c r="L15" s="24" t="e">
        <f t="shared" si="2"/>
        <v>#VALUE!</v>
      </c>
      <c r="M15" s="24" t="e">
        <f t="shared" si="1"/>
        <v>#VALUE!</v>
      </c>
    </row>
    <row r="16" spans="1:13" ht="15">
      <c r="A16" s="41" t="s">
        <v>108</v>
      </c>
      <c r="B16" s="46">
        <v>33465</v>
      </c>
      <c r="C16" s="42" t="s">
        <v>53</v>
      </c>
      <c r="D16" s="42" t="s">
        <v>132</v>
      </c>
      <c r="E16" s="41"/>
      <c r="H16" s="42"/>
      <c r="I16"/>
      <c r="L16" s="24" t="e">
        <f t="shared" si="2"/>
        <v>#VALUE!</v>
      </c>
      <c r="M16" s="24" t="e">
        <f t="shared" si="1"/>
        <v>#VALUE!</v>
      </c>
    </row>
    <row r="17" spans="1:13" ht="15">
      <c r="A17" s="41" t="s">
        <v>14</v>
      </c>
      <c r="B17" s="46"/>
      <c r="C17" s="42" t="s">
        <v>58</v>
      </c>
      <c r="D17" s="42" t="s">
        <v>132</v>
      </c>
      <c r="E17" s="41"/>
      <c r="H17" s="42"/>
      <c r="I17"/>
      <c r="L17" s="24" t="e">
        <f t="shared" si="2"/>
        <v>#VALUE!</v>
      </c>
      <c r="M17" s="24" t="e">
        <f t="shared" si="1"/>
        <v>#VALUE!</v>
      </c>
    </row>
    <row r="18" spans="1:13" ht="15">
      <c r="A18" s="41" t="s">
        <v>77</v>
      </c>
      <c r="B18" s="46"/>
      <c r="C18" s="42" t="s">
        <v>58</v>
      </c>
      <c r="D18" s="42" t="s">
        <v>132</v>
      </c>
      <c r="E18" s="41"/>
      <c r="H18" s="42"/>
      <c r="I18"/>
      <c r="L18" s="24" t="e">
        <f t="shared" si="2"/>
        <v>#VALUE!</v>
      </c>
      <c r="M18" s="24" t="e">
        <f t="shared" si="1"/>
        <v>#VALUE!</v>
      </c>
    </row>
    <row r="19" spans="1:13" ht="15">
      <c r="A19" s="41" t="s">
        <v>109</v>
      </c>
      <c r="B19" s="46"/>
      <c r="C19" s="42" t="s">
        <v>58</v>
      </c>
      <c r="D19" s="42" t="s">
        <v>132</v>
      </c>
      <c r="E19" s="41"/>
      <c r="H19" s="42"/>
      <c r="I19"/>
      <c r="L19" s="24" t="e">
        <f t="shared" si="2"/>
        <v>#VALUE!</v>
      </c>
      <c r="M19" s="24" t="e">
        <f t="shared" si="1"/>
        <v>#VALUE!</v>
      </c>
    </row>
    <row r="20" spans="1:13" ht="15">
      <c r="A20" s="41" t="s">
        <v>110</v>
      </c>
      <c r="B20" s="46">
        <v>28013</v>
      </c>
      <c r="C20" s="42" t="s">
        <v>51</v>
      </c>
      <c r="D20" s="42" t="s">
        <v>132</v>
      </c>
      <c r="E20" s="41"/>
      <c r="H20" s="42"/>
      <c r="I20"/>
      <c r="L20" s="24" t="e">
        <f t="shared" si="2"/>
        <v>#VALUE!</v>
      </c>
      <c r="M20" s="24" t="e">
        <f t="shared" si="1"/>
        <v>#VALUE!</v>
      </c>
    </row>
    <row r="21" spans="1:13" ht="15">
      <c r="A21" s="41" t="s">
        <v>111</v>
      </c>
      <c r="B21" s="46">
        <v>29616</v>
      </c>
      <c r="C21" s="42" t="s">
        <v>51</v>
      </c>
      <c r="D21" s="42" t="s">
        <v>132</v>
      </c>
      <c r="E21" s="41"/>
      <c r="H21" s="42"/>
      <c r="I21"/>
      <c r="L21" s="24" t="e">
        <f t="shared" si="2"/>
        <v>#VALUE!</v>
      </c>
      <c r="M21" s="24" t="e">
        <f t="shared" si="1"/>
        <v>#VALUE!</v>
      </c>
    </row>
    <row r="22" spans="1:13" ht="15">
      <c r="A22" s="48" t="s">
        <v>134</v>
      </c>
      <c r="B22" s="49">
        <v>30886</v>
      </c>
      <c r="C22" s="47" t="s">
        <v>51</v>
      </c>
      <c r="D22" s="47" t="s">
        <v>132</v>
      </c>
      <c r="E22" s="48" t="s">
        <v>70</v>
      </c>
      <c r="F22" s="48" t="s">
        <v>135</v>
      </c>
      <c r="G22" s="48"/>
      <c r="H22" s="47"/>
      <c r="I22"/>
      <c r="L22" s="24" t="e">
        <f t="shared" si="2"/>
        <v>#VALUE!</v>
      </c>
      <c r="M22" s="24" t="e">
        <f t="shared" si="1"/>
        <v>#VALUE!</v>
      </c>
    </row>
    <row r="23" spans="1:13" ht="15">
      <c r="A23" s="41" t="s">
        <v>112</v>
      </c>
      <c r="B23" s="46">
        <v>31604</v>
      </c>
      <c r="C23" s="42" t="s">
        <v>52</v>
      </c>
      <c r="D23" s="42" t="s">
        <v>132</v>
      </c>
      <c r="E23" s="41"/>
      <c r="H23" s="42"/>
      <c r="I23"/>
      <c r="L23" s="24" t="e">
        <f t="shared" si="2"/>
        <v>#VALUE!</v>
      </c>
      <c r="M23" s="24" t="e">
        <f t="shared" si="1"/>
        <v>#VALUE!</v>
      </c>
    </row>
    <row r="24" spans="1:13" ht="15">
      <c r="A24" s="41" t="s">
        <v>113</v>
      </c>
      <c r="B24" s="46">
        <v>32166</v>
      </c>
      <c r="C24" s="42" t="s">
        <v>52</v>
      </c>
      <c r="D24" s="42" t="s">
        <v>132</v>
      </c>
      <c r="E24" s="41"/>
      <c r="H24" s="42"/>
      <c r="I24"/>
      <c r="L24" s="24" t="e">
        <f t="shared" si="2"/>
        <v>#VALUE!</v>
      </c>
      <c r="M24" s="24" t="e">
        <f t="shared" si="1"/>
        <v>#VALUE!</v>
      </c>
    </row>
    <row r="25" spans="1:13" ht="15">
      <c r="A25" s="41" t="s">
        <v>79</v>
      </c>
      <c r="B25" s="46"/>
      <c r="C25" s="42" t="s">
        <v>58</v>
      </c>
      <c r="D25" s="42" t="s">
        <v>132</v>
      </c>
      <c r="E25" s="41"/>
      <c r="H25" s="42"/>
      <c r="I25"/>
      <c r="L25" s="24" t="e">
        <f t="shared" si="2"/>
        <v>#VALUE!</v>
      </c>
      <c r="M25" s="24" t="e">
        <f t="shared" si="1"/>
        <v>#VALUE!</v>
      </c>
    </row>
    <row r="26" spans="1:13" ht="15">
      <c r="A26" s="41" t="s">
        <v>114</v>
      </c>
      <c r="B26" s="46">
        <v>30077</v>
      </c>
      <c r="C26" s="42" t="s">
        <v>58</v>
      </c>
      <c r="D26" s="42" t="s">
        <v>132</v>
      </c>
      <c r="E26" s="41"/>
      <c r="H26" s="42"/>
      <c r="I26"/>
      <c r="L26" s="24" t="e">
        <f t="shared" si="2"/>
        <v>#VALUE!</v>
      </c>
      <c r="M26" s="24" t="e">
        <f t="shared" si="1"/>
        <v>#VALUE!</v>
      </c>
    </row>
    <row r="27" spans="1:13" ht="15">
      <c r="A27" s="41" t="s">
        <v>115</v>
      </c>
      <c r="B27" s="46"/>
      <c r="C27" s="42" t="s">
        <v>58</v>
      </c>
      <c r="D27" s="42" t="s">
        <v>132</v>
      </c>
      <c r="E27" s="41"/>
      <c r="H27" s="42"/>
      <c r="I27"/>
      <c r="L27" s="24" t="e">
        <f t="shared" si="2"/>
        <v>#VALUE!</v>
      </c>
      <c r="M27" s="24" t="e">
        <f t="shared" si="1"/>
        <v>#VALUE!</v>
      </c>
    </row>
    <row r="28" spans="1:13" ht="15">
      <c r="A28" s="41" t="s">
        <v>116</v>
      </c>
      <c r="B28" s="46">
        <v>29826</v>
      </c>
      <c r="C28" s="42" t="s">
        <v>51</v>
      </c>
      <c r="D28" s="42" t="s">
        <v>132</v>
      </c>
      <c r="E28" s="41"/>
      <c r="H28" s="42"/>
      <c r="I28"/>
      <c r="L28" s="24" t="e">
        <f t="shared" si="2"/>
        <v>#VALUE!</v>
      </c>
      <c r="M28" s="24" t="e">
        <f t="shared" si="1"/>
        <v>#VALUE!</v>
      </c>
    </row>
    <row r="29" spans="1:13" ht="15">
      <c r="A29" s="41" t="s">
        <v>80</v>
      </c>
      <c r="B29" s="46"/>
      <c r="C29" s="42" t="s">
        <v>51</v>
      </c>
      <c r="D29" s="42" t="s">
        <v>132</v>
      </c>
      <c r="E29" s="41"/>
      <c r="H29" s="42"/>
      <c r="I29"/>
      <c r="L29" s="24" t="e">
        <f t="shared" si="2"/>
        <v>#VALUE!</v>
      </c>
      <c r="M29" s="24" t="e">
        <f t="shared" si="1"/>
        <v>#VALUE!</v>
      </c>
    </row>
    <row r="30" spans="1:13" ht="15">
      <c r="A30" s="41" t="s">
        <v>117</v>
      </c>
      <c r="B30" s="46"/>
      <c r="C30" s="42" t="s">
        <v>58</v>
      </c>
      <c r="E30" s="41"/>
      <c r="H30" s="42"/>
      <c r="I30"/>
      <c r="L30" s="24" t="e">
        <f t="shared" si="2"/>
        <v>#VALUE!</v>
      </c>
      <c r="M30" s="24" t="e">
        <f t="shared" si="1"/>
        <v>#VALUE!</v>
      </c>
    </row>
    <row r="31" spans="1:13" ht="15">
      <c r="A31" s="41" t="s">
        <v>118</v>
      </c>
      <c r="B31" s="46">
        <v>32226</v>
      </c>
      <c r="C31" s="42" t="s">
        <v>58</v>
      </c>
      <c r="D31" s="42" t="s">
        <v>132</v>
      </c>
      <c r="E31" s="41"/>
      <c r="H31" s="42"/>
      <c r="I31"/>
      <c r="L31" s="24" t="e">
        <f t="shared" si="2"/>
        <v>#VALUE!</v>
      </c>
      <c r="M31" s="24" t="e">
        <f t="shared" si="1"/>
        <v>#VALUE!</v>
      </c>
    </row>
    <row r="32" spans="1:13" ht="15">
      <c r="A32" s="41" t="s">
        <v>75</v>
      </c>
      <c r="B32" s="46"/>
      <c r="C32" s="42" t="s">
        <v>52</v>
      </c>
      <c r="D32" s="42" t="s">
        <v>132</v>
      </c>
      <c r="E32" s="41"/>
      <c r="H32" s="42"/>
      <c r="I32"/>
      <c r="L32" s="24" t="e">
        <f t="shared" si="2"/>
        <v>#VALUE!</v>
      </c>
      <c r="M32" s="24" t="e">
        <f t="shared" si="1"/>
        <v>#VALUE!</v>
      </c>
    </row>
    <row r="33" spans="1:13" ht="15">
      <c r="A33" s="41" t="s">
        <v>119</v>
      </c>
      <c r="B33" s="46">
        <v>31221</v>
      </c>
      <c r="C33" s="42" t="s">
        <v>53</v>
      </c>
      <c r="D33" s="42" t="s">
        <v>132</v>
      </c>
      <c r="E33" s="41"/>
      <c r="H33" s="42"/>
      <c r="I33"/>
      <c r="L33" s="24" t="e">
        <f t="shared" si="2"/>
        <v>#VALUE!</v>
      </c>
      <c r="M33" s="24" t="e">
        <f t="shared" si="1"/>
        <v>#VALUE!</v>
      </c>
    </row>
    <row r="34" spans="1:13" ht="15">
      <c r="A34" s="41" t="s">
        <v>87</v>
      </c>
      <c r="B34" s="46"/>
      <c r="C34" s="42" t="s">
        <v>52</v>
      </c>
      <c r="D34" s="42" t="s">
        <v>132</v>
      </c>
      <c r="E34" s="41"/>
      <c r="H34" s="42"/>
      <c r="I34"/>
      <c r="L34" s="24" t="e">
        <f t="shared" si="2"/>
        <v>#VALUE!</v>
      </c>
      <c r="M34" s="24" t="e">
        <f t="shared" si="1"/>
        <v>#VALUE!</v>
      </c>
    </row>
    <row r="35" spans="1:13" ht="15">
      <c r="A35" s="41" t="s">
        <v>120</v>
      </c>
      <c r="B35" s="46">
        <v>34477</v>
      </c>
      <c r="C35" s="42" t="s">
        <v>58</v>
      </c>
      <c r="D35" s="42" t="s">
        <v>132</v>
      </c>
      <c r="E35" s="41"/>
      <c r="H35" s="42"/>
      <c r="I35"/>
      <c r="L35" s="24" t="e">
        <f t="shared" si="2"/>
        <v>#VALUE!</v>
      </c>
      <c r="M35" s="24" t="e">
        <f t="shared" si="1"/>
        <v>#VALUE!</v>
      </c>
    </row>
    <row r="36" spans="1:13" ht="15">
      <c r="A36" s="41" t="s">
        <v>84</v>
      </c>
      <c r="B36" s="46"/>
      <c r="C36" s="42" t="s">
        <v>51</v>
      </c>
      <c r="D36" s="42" t="s">
        <v>132</v>
      </c>
      <c r="E36" s="41"/>
      <c r="H36" s="42"/>
      <c r="I36"/>
      <c r="L36" s="24" t="e">
        <f t="shared" si="2"/>
        <v>#VALUE!</v>
      </c>
      <c r="M36" s="24" t="e">
        <f t="shared" si="1"/>
        <v>#VALUE!</v>
      </c>
    </row>
    <row r="37" spans="1:13" s="24" customFormat="1" ht="15">
      <c r="A37" s="41" t="s">
        <v>81</v>
      </c>
      <c r="B37" s="46"/>
      <c r="C37" s="42" t="s">
        <v>52</v>
      </c>
      <c r="D37" s="42" t="s">
        <v>132</v>
      </c>
      <c r="E37" s="41"/>
      <c r="F37" s="41"/>
      <c r="G37" s="41"/>
      <c r="H37" s="42"/>
      <c r="L37" s="24" t="e">
        <f t="shared" si="2"/>
        <v>#VALUE!</v>
      </c>
      <c r="M37" s="24" t="e">
        <f t="shared" si="1"/>
        <v>#VALUE!</v>
      </c>
    </row>
    <row r="38" spans="1:13" ht="15">
      <c r="A38" s="41" t="s">
        <v>88</v>
      </c>
      <c r="B38" s="46"/>
      <c r="C38" s="42" t="s">
        <v>52</v>
      </c>
      <c r="D38" s="42" t="s">
        <v>132</v>
      </c>
      <c r="E38" s="41"/>
      <c r="H38" s="42"/>
      <c r="I38"/>
      <c r="L38" s="24" t="e">
        <f t="shared" si="2"/>
        <v>#VALUE!</v>
      </c>
      <c r="M38" s="24" t="e">
        <f t="shared" si="1"/>
        <v>#VALUE!</v>
      </c>
    </row>
    <row r="39" spans="1:13" ht="15">
      <c r="A39" s="41" t="s">
        <v>85</v>
      </c>
      <c r="B39" s="46"/>
      <c r="C39" s="42" t="s">
        <v>51</v>
      </c>
      <c r="D39" s="42" t="s">
        <v>132</v>
      </c>
      <c r="E39" s="41"/>
      <c r="H39" s="42"/>
      <c r="I39"/>
      <c r="L39" s="24" t="e">
        <f t="shared" si="2"/>
        <v>#VALUE!</v>
      </c>
      <c r="M39" s="24" t="e">
        <f t="shared" si="1"/>
        <v>#VALUE!</v>
      </c>
    </row>
    <row r="40" spans="1:13" ht="15">
      <c r="A40" s="41" t="s">
        <v>121</v>
      </c>
      <c r="B40" s="46">
        <v>31423</v>
      </c>
      <c r="C40" s="42" t="s">
        <v>58</v>
      </c>
      <c r="D40" s="42" t="s">
        <v>132</v>
      </c>
      <c r="E40" s="41"/>
      <c r="H40" s="42"/>
      <c r="I40"/>
      <c r="L40" s="24" t="e">
        <f t="shared" si="2"/>
        <v>#VALUE!</v>
      </c>
      <c r="M40" s="24" t="e">
        <f t="shared" si="1"/>
        <v>#VALUE!</v>
      </c>
    </row>
    <row r="41" spans="1:13" ht="15">
      <c r="A41" s="41" t="s">
        <v>122</v>
      </c>
      <c r="B41" s="46">
        <v>32331</v>
      </c>
      <c r="C41" s="42" t="s">
        <v>58</v>
      </c>
      <c r="D41" s="42" t="s">
        <v>133</v>
      </c>
      <c r="E41" s="41"/>
      <c r="H41" s="42"/>
      <c r="I41"/>
      <c r="L41" s="24" t="e">
        <f t="shared" si="2"/>
        <v>#VALUE!</v>
      </c>
      <c r="M41" s="24" t="e">
        <f t="shared" si="1"/>
        <v>#VALUE!</v>
      </c>
    </row>
    <row r="42" spans="1:13" ht="15">
      <c r="A42" s="41" t="s">
        <v>123</v>
      </c>
      <c r="B42" s="46">
        <v>31909</v>
      </c>
      <c r="C42" s="42" t="s">
        <v>53</v>
      </c>
      <c r="D42" s="42" t="s">
        <v>132</v>
      </c>
      <c r="E42" s="41"/>
      <c r="H42" s="42"/>
      <c r="I42"/>
      <c r="L42" s="24" t="e">
        <f t="shared" si="2"/>
        <v>#VALUE!</v>
      </c>
      <c r="M42" s="24" t="e">
        <f t="shared" si="1"/>
        <v>#VALUE!</v>
      </c>
    </row>
    <row r="43" spans="1:13" ht="15">
      <c r="A43" s="41" t="s">
        <v>124</v>
      </c>
      <c r="B43" s="46"/>
      <c r="C43" s="42" t="s">
        <v>51</v>
      </c>
      <c r="D43" s="42" t="s">
        <v>132</v>
      </c>
      <c r="E43" s="41"/>
      <c r="H43" s="42"/>
      <c r="I43"/>
      <c r="L43" s="24" t="e">
        <f t="shared" si="2"/>
        <v>#VALUE!</v>
      </c>
      <c r="M43" s="24" t="e">
        <f t="shared" si="1"/>
        <v>#VALUE!</v>
      </c>
    </row>
    <row r="44" spans="1:13" ht="15">
      <c r="A44" s="41" t="s">
        <v>125</v>
      </c>
      <c r="B44" s="46">
        <v>33802</v>
      </c>
      <c r="C44" s="42" t="s">
        <v>58</v>
      </c>
      <c r="D44" s="42" t="s">
        <v>132</v>
      </c>
      <c r="E44" s="41"/>
      <c r="H44" s="42"/>
      <c r="I44"/>
      <c r="L44" s="24" t="e">
        <f t="shared" si="2"/>
        <v>#VALUE!</v>
      </c>
      <c r="M44" s="24" t="e">
        <f t="shared" si="1"/>
        <v>#VALUE!</v>
      </c>
    </row>
    <row r="45" spans="1:13" ht="15">
      <c r="A45" s="41" t="s">
        <v>83</v>
      </c>
      <c r="B45" s="46"/>
      <c r="C45" s="42" t="s">
        <v>51</v>
      </c>
      <c r="D45" s="42" t="s">
        <v>132</v>
      </c>
      <c r="E45" s="41"/>
      <c r="H45" s="42"/>
      <c r="I45"/>
      <c r="L45" s="24" t="e">
        <f t="shared" si="2"/>
        <v>#VALUE!</v>
      </c>
      <c r="M45" s="24" t="e">
        <f t="shared" si="1"/>
        <v>#VALUE!</v>
      </c>
    </row>
    <row r="46" spans="1:13" ht="15">
      <c r="A46" s="41" t="s">
        <v>126</v>
      </c>
      <c r="B46" s="46">
        <v>30590</v>
      </c>
      <c r="C46" s="42" t="s">
        <v>53</v>
      </c>
      <c r="D46" s="42" t="s">
        <v>132</v>
      </c>
      <c r="E46" s="41"/>
      <c r="H46" s="42"/>
      <c r="I46"/>
      <c r="L46" s="24" t="e">
        <f t="shared" si="2"/>
        <v>#VALUE!</v>
      </c>
      <c r="M46" s="24" t="e">
        <f t="shared" si="1"/>
        <v>#VALUE!</v>
      </c>
    </row>
    <row r="47" spans="1:13" ht="15">
      <c r="A47" s="41" t="s">
        <v>76</v>
      </c>
      <c r="B47" s="46"/>
      <c r="C47" s="42" t="s">
        <v>52</v>
      </c>
      <c r="D47" s="42" t="s">
        <v>132</v>
      </c>
      <c r="E47" s="41"/>
      <c r="H47" s="42"/>
      <c r="I47"/>
      <c r="L47" s="24" t="e">
        <f t="shared" si="2"/>
        <v>#VALUE!</v>
      </c>
      <c r="M47" s="24" t="e">
        <f t="shared" si="1"/>
        <v>#VALUE!</v>
      </c>
    </row>
    <row r="48" spans="1:13" ht="15">
      <c r="A48" s="41" t="s">
        <v>127</v>
      </c>
      <c r="B48" s="46">
        <v>31686</v>
      </c>
      <c r="C48" s="42" t="s">
        <v>52</v>
      </c>
      <c r="D48" s="42" t="s">
        <v>132</v>
      </c>
      <c r="E48" s="41"/>
      <c r="H48" s="42"/>
      <c r="I48"/>
      <c r="L48" s="24" t="e">
        <f t="shared" si="2"/>
        <v>#VALUE!</v>
      </c>
      <c r="M48" s="24" t="e">
        <f t="shared" si="1"/>
        <v>#VALUE!</v>
      </c>
    </row>
    <row r="49" spans="1:13" ht="15">
      <c r="A49" s="41" t="s">
        <v>86</v>
      </c>
      <c r="B49" s="46"/>
      <c r="C49" s="42" t="s">
        <v>51</v>
      </c>
      <c r="D49" s="42" t="s">
        <v>133</v>
      </c>
      <c r="E49" s="41"/>
      <c r="H49" s="42"/>
      <c r="I49"/>
      <c r="L49" s="24" t="e">
        <f t="shared" si="2"/>
        <v>#VALUE!</v>
      </c>
      <c r="M49" s="24" t="e">
        <f t="shared" si="1"/>
        <v>#VALUE!</v>
      </c>
    </row>
    <row r="50" spans="1:13" ht="15">
      <c r="A50" s="41" t="s">
        <v>128</v>
      </c>
      <c r="B50" s="46">
        <v>32314</v>
      </c>
      <c r="C50" s="42" t="s">
        <v>58</v>
      </c>
      <c r="D50" s="42" t="s">
        <v>132</v>
      </c>
      <c r="E50" s="41"/>
      <c r="H50" s="42"/>
      <c r="I50"/>
      <c r="L50" s="24" t="e">
        <f t="shared" si="2"/>
        <v>#VALUE!</v>
      </c>
      <c r="M50" s="24" t="e">
        <f t="shared" si="1"/>
        <v>#VALUE!</v>
      </c>
    </row>
    <row r="51" spans="1:13" ht="15">
      <c r="A51" s="41" t="s">
        <v>129</v>
      </c>
      <c r="B51" s="46">
        <v>33130</v>
      </c>
      <c r="C51" s="42" t="s">
        <v>52</v>
      </c>
      <c r="D51" s="42" t="s">
        <v>133</v>
      </c>
      <c r="E51" s="41"/>
      <c r="H51" s="42"/>
      <c r="I51"/>
      <c r="L51" s="24" t="e">
        <f t="shared" si="2"/>
        <v>#VALUE!</v>
      </c>
      <c r="M51" s="24" t="e">
        <f t="shared" si="1"/>
        <v>#VALUE!</v>
      </c>
    </row>
    <row r="52" spans="1:13" ht="15">
      <c r="A52" s="41" t="s">
        <v>130</v>
      </c>
      <c r="B52" s="46">
        <v>32145</v>
      </c>
      <c r="C52" s="42" t="s">
        <v>52</v>
      </c>
      <c r="D52" s="42" t="s">
        <v>133</v>
      </c>
      <c r="E52" s="41"/>
      <c r="H52" s="42"/>
      <c r="I52"/>
      <c r="L52" s="24" t="e">
        <f t="shared" si="2"/>
        <v>#VALUE!</v>
      </c>
      <c r="M52" s="24" t="e">
        <f t="shared" si="1"/>
        <v>#VALUE!</v>
      </c>
    </row>
    <row r="53" spans="1:13" ht="15">
      <c r="A53" s="41" t="s">
        <v>71</v>
      </c>
      <c r="B53" s="46"/>
      <c r="C53" s="42" t="s">
        <v>58</v>
      </c>
      <c r="D53" s="42" t="s">
        <v>132</v>
      </c>
      <c r="E53" s="41"/>
      <c r="H53" s="42"/>
      <c r="I53"/>
      <c r="L53" s="24" t="e">
        <f t="shared" si="2"/>
        <v>#VALUE!</v>
      </c>
      <c r="M53" s="24" t="e">
        <f t="shared" si="1"/>
        <v>#VALUE!</v>
      </c>
    </row>
    <row r="54" spans="1:9" ht="15">
      <c r="A54" s="41" t="s">
        <v>131</v>
      </c>
      <c r="B54" s="46">
        <v>34170</v>
      </c>
      <c r="C54" s="42" t="s">
        <v>58</v>
      </c>
      <c r="D54" s="42" t="s">
        <v>133</v>
      </c>
      <c r="E54" s="41"/>
      <c r="H54" s="42"/>
      <c r="I54"/>
    </row>
    <row r="55" spans="1:8" ht="15">
      <c r="A55" s="48"/>
      <c r="B55" s="49"/>
      <c r="C55" s="47"/>
      <c r="D55" s="47"/>
      <c r="E55" s="48"/>
      <c r="F55" s="48"/>
      <c r="G55" s="48"/>
      <c r="H55" s="47"/>
    </row>
    <row r="56" spans="1:8" ht="15">
      <c r="A56" s="48"/>
      <c r="B56" s="49"/>
      <c r="C56" s="47"/>
      <c r="D56" s="47"/>
      <c r="E56" s="48"/>
      <c r="F56" s="48"/>
      <c r="G56" s="48"/>
      <c r="H56" s="47"/>
    </row>
    <row r="57" spans="1:8" ht="15">
      <c r="A57" s="48"/>
      <c r="B57" s="49"/>
      <c r="C57" s="47"/>
      <c r="D57" s="47"/>
      <c r="E57" s="48"/>
      <c r="F57" s="48"/>
      <c r="G57" s="48"/>
      <c r="H57" s="47"/>
    </row>
    <row r="58" spans="1:8" ht="15">
      <c r="A58" s="48"/>
      <c r="B58" s="49"/>
      <c r="C58" s="47"/>
      <c r="D58" s="47"/>
      <c r="E58" s="48"/>
      <c r="F58" s="48"/>
      <c r="G58" s="48"/>
      <c r="H58" s="47"/>
    </row>
    <row r="59" spans="1:8" ht="15">
      <c r="A59" s="48"/>
      <c r="B59" s="49"/>
      <c r="C59" s="47"/>
      <c r="D59" s="47"/>
      <c r="E59" s="48"/>
      <c r="F59" s="48"/>
      <c r="G59" s="48"/>
      <c r="H59" s="47"/>
    </row>
    <row r="60" spans="1:8" ht="15">
      <c r="A60" s="48"/>
      <c r="B60" s="49"/>
      <c r="C60" s="47"/>
      <c r="D60" s="47"/>
      <c r="E60" s="48"/>
      <c r="F60" s="48"/>
      <c r="G60" s="48"/>
      <c r="H60" s="47"/>
    </row>
    <row r="61" spans="1:8" ht="15">
      <c r="A61" s="48"/>
      <c r="B61" s="49"/>
      <c r="C61" s="47"/>
      <c r="D61" s="47"/>
      <c r="E61" s="48"/>
      <c r="F61" s="48"/>
      <c r="G61" s="48"/>
      <c r="H61" s="47"/>
    </row>
    <row r="62" spans="1:8" ht="15">
      <c r="A62" s="48"/>
      <c r="B62" s="49"/>
      <c r="C62" s="47"/>
      <c r="D62" s="47"/>
      <c r="E62" s="48"/>
      <c r="F62" s="48"/>
      <c r="G62" s="48"/>
      <c r="H62" s="47"/>
    </row>
    <row r="63" spans="1:8" ht="15">
      <c r="A63" s="50"/>
      <c r="B63" s="51"/>
      <c r="C63" s="52"/>
      <c r="D63" s="52"/>
      <c r="E63" s="50"/>
      <c r="F63" s="50"/>
      <c r="G63" s="50"/>
      <c r="H63" s="52"/>
    </row>
    <row r="64" spans="1:8" ht="15">
      <c r="A64" s="48" t="s">
        <v>92</v>
      </c>
      <c r="B64" s="48">
        <f>SUBTOTAL(103,B2:B63)</f>
        <v>33</v>
      </c>
      <c r="C64" s="47">
        <f>SUBTOTAL(103,C2:C63)</f>
        <v>53</v>
      </c>
      <c r="D64" s="47"/>
      <c r="E64" s="48">
        <f>SUBTOTAL(103,E2:E63)</f>
        <v>2</v>
      </c>
      <c r="F64" s="48">
        <f>SUBTOTAL(103,F2:F63)</f>
        <v>1</v>
      </c>
      <c r="G64" s="48"/>
      <c r="H64" s="47"/>
    </row>
  </sheetData>
  <sheetProtection/>
  <dataValidations count="3">
    <dataValidation type="list" allowBlank="1" showInputMessage="1" showErrorMessage="1" sqref="C2:C63">
      <formula1>разряд</formula1>
    </dataValidation>
    <dataValidation type="list" allowBlank="1" showInputMessage="1" showErrorMessage="1" sqref="D2:D63">
      <formula1>т_пол</formula1>
    </dataValidation>
    <dataValidation type="date" operator="lessThan" allowBlank="1" showInputMessage="1" showErrorMessage="1" errorTitle="Неверное значение" error="Дата рождения не может быть позже сегодняшней даты" sqref="B2:B63">
      <formula1>TODAY()</formula1>
    </dataValidation>
  </dataValidations>
  <printOptions/>
  <pageMargins left="0.7" right="0.7" top="0.75" bottom="0.75" header="0.3" footer="0.3"/>
  <pageSetup horizontalDpi="200" verticalDpi="200" orientation="portrait" paperSize="9" r:id="rId2"/>
  <tableParts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S36"/>
  <sheetViews>
    <sheetView zoomScalePageLayoutView="0" workbookViewId="0" topLeftCell="A1">
      <selection activeCell="P32" sqref="P32"/>
    </sheetView>
  </sheetViews>
  <sheetFormatPr defaultColWidth="9.140625" defaultRowHeight="15"/>
  <cols>
    <col min="1" max="1" width="10.28125" style="14" customWidth="1"/>
    <col min="2" max="2" width="7.8515625" style="14" customWidth="1"/>
    <col min="3" max="3" width="11.421875" style="14" customWidth="1"/>
    <col min="4" max="5" width="11.7109375" style="14" customWidth="1"/>
    <col min="6" max="6" width="10.00390625" style="14" customWidth="1"/>
    <col min="7" max="7" width="12.00390625" style="179" customWidth="1"/>
    <col min="8" max="8" width="12.421875" style="14" customWidth="1"/>
    <col min="9" max="9" width="12.7109375" style="14" customWidth="1" collapsed="1"/>
    <col min="10" max="10" width="12.7109375" style="14" customWidth="1"/>
    <col min="11" max="11" width="12.7109375" style="14" customWidth="1" collapsed="1"/>
    <col min="12" max="12" width="19.140625" style="14" customWidth="1" collapsed="1"/>
    <col min="13" max="14" width="9.140625" style="14" customWidth="1" collapsed="1"/>
    <col min="15" max="15" width="16.421875" style="14" customWidth="1"/>
    <col min="16" max="18" width="9.140625" style="14" customWidth="1"/>
    <col min="19" max="19" width="17.140625" style="14" customWidth="1"/>
    <col min="20" max="16384" width="9.140625" style="14" customWidth="1"/>
  </cols>
  <sheetData>
    <row r="1" spans="1:15" ht="15.75">
      <c r="A1" s="80"/>
      <c r="B1" s="80"/>
      <c r="C1" s="80"/>
      <c r="D1" s="199"/>
      <c r="E1" s="199"/>
      <c r="F1" s="199"/>
      <c r="G1" s="199"/>
      <c r="H1" s="199"/>
      <c r="I1" s="199"/>
      <c r="J1" s="199"/>
      <c r="K1" s="199"/>
      <c r="L1" s="199"/>
      <c r="O1" s="200"/>
    </row>
    <row r="2" spans="1:15" ht="15.75">
      <c r="A2" s="80"/>
      <c r="B2" s="80"/>
      <c r="C2" s="80"/>
      <c r="D2" s="199"/>
      <c r="E2" s="199"/>
      <c r="F2" s="199"/>
      <c r="G2" s="199"/>
      <c r="H2" s="199"/>
      <c r="I2" s="199"/>
      <c r="J2" s="199"/>
      <c r="K2" s="199"/>
      <c r="L2" s="199"/>
      <c r="O2" s="201"/>
    </row>
    <row r="3" spans="2:12" ht="15.75">
      <c r="B3" s="202"/>
      <c r="C3" s="202"/>
      <c r="D3" s="203"/>
      <c r="E3" s="203"/>
      <c r="F3" s="203"/>
      <c r="G3" s="203"/>
      <c r="H3" s="203"/>
      <c r="I3" s="203"/>
      <c r="J3" s="203"/>
      <c r="K3" s="203"/>
      <c r="L3" s="203"/>
    </row>
    <row r="4" spans="2:15" ht="15.75" customHeight="1">
      <c r="B4" s="203"/>
      <c r="C4" s="203"/>
      <c r="D4" s="204"/>
      <c r="E4" s="204"/>
      <c r="F4" s="204"/>
      <c r="G4" s="204"/>
      <c r="H4" s="204"/>
      <c r="I4" s="204"/>
      <c r="J4" s="204"/>
      <c r="K4" s="204"/>
      <c r="L4" s="204"/>
      <c r="O4" s="205"/>
    </row>
    <row r="5" spans="2:15" ht="15.75">
      <c r="B5" s="203"/>
      <c r="C5" s="203"/>
      <c r="D5" s="206"/>
      <c r="E5" s="206"/>
      <c r="F5" s="206"/>
      <c r="G5" s="206"/>
      <c r="H5" s="206"/>
      <c r="I5" s="206"/>
      <c r="J5" s="206"/>
      <c r="K5" s="206"/>
      <c r="L5" s="206"/>
      <c r="O5" s="201"/>
    </row>
    <row r="6" spans="2:19" ht="15.75" customHeight="1"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203"/>
      <c r="O6" s="86"/>
      <c r="P6" s="86"/>
      <c r="Q6" s="86"/>
      <c r="R6" s="86"/>
      <c r="S6" s="207"/>
    </row>
    <row r="7" spans="2:19" ht="16.5" customHeight="1"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03"/>
      <c r="O7" s="85"/>
      <c r="P7" s="179"/>
      <c r="Q7" s="179"/>
      <c r="R7" s="179"/>
      <c r="S7" s="86"/>
    </row>
    <row r="8" spans="1:19" ht="15.75" customHeight="1">
      <c r="A8" s="13"/>
      <c r="B8" s="13"/>
      <c r="C8" s="13"/>
      <c r="D8" s="13"/>
      <c r="E8" s="13"/>
      <c r="F8" s="13"/>
      <c r="G8" s="13"/>
      <c r="H8" s="13"/>
      <c r="I8" s="13"/>
      <c r="J8" s="23"/>
      <c r="K8" s="23"/>
      <c r="L8" s="3"/>
      <c r="O8" s="85"/>
      <c r="P8" s="179"/>
      <c r="Q8" s="179"/>
      <c r="R8" s="179"/>
      <c r="S8" s="86"/>
    </row>
    <row r="9" spans="1:12" ht="15">
      <c r="A9" s="3"/>
      <c r="B9" s="3"/>
      <c r="C9" s="3"/>
      <c r="D9" s="3"/>
      <c r="E9" s="3"/>
      <c r="F9" s="3"/>
      <c r="G9" s="5"/>
      <c r="H9" s="3"/>
      <c r="I9" s="3"/>
      <c r="J9" s="3"/>
      <c r="K9" s="3"/>
      <c r="L9" s="3"/>
    </row>
    <row r="10" spans="1:12" ht="15.75">
      <c r="A10" s="208"/>
      <c r="B10" s="208"/>
      <c r="C10" s="208"/>
      <c r="D10" s="208"/>
      <c r="E10" s="208"/>
      <c r="F10" s="208"/>
      <c r="G10" s="208"/>
      <c r="H10" s="208"/>
      <c r="I10" s="208"/>
      <c r="J10" s="208"/>
      <c r="K10" s="208"/>
      <c r="L10" s="208"/>
    </row>
    <row r="11" spans="1:13" ht="15.75">
      <c r="A11" s="209"/>
      <c r="B11" s="210"/>
      <c r="C11" s="211"/>
      <c r="D11" s="212"/>
      <c r="E11" s="212"/>
      <c r="F11" s="213"/>
      <c r="G11" s="214"/>
      <c r="H11" s="215"/>
      <c r="I11" s="216"/>
      <c r="J11" s="216"/>
      <c r="K11" s="216"/>
      <c r="L11" s="217"/>
      <c r="M11" s="218"/>
    </row>
    <row r="12" spans="1:13" ht="18" customHeight="1">
      <c r="A12" s="219"/>
      <c r="B12" s="75"/>
      <c r="C12" s="220"/>
      <c r="D12" s="89"/>
      <c r="E12" s="89"/>
      <c r="F12" s="221"/>
      <c r="G12" s="222"/>
      <c r="H12" s="90"/>
      <c r="I12" s="223"/>
      <c r="J12" s="224"/>
      <c r="K12" s="225"/>
      <c r="L12" s="226"/>
      <c r="M12" s="227"/>
    </row>
    <row r="13" spans="1:13" ht="15.75">
      <c r="A13" s="219"/>
      <c r="B13" s="75"/>
      <c r="C13" s="220"/>
      <c r="D13" s="89"/>
      <c r="E13" s="89"/>
      <c r="F13" s="221"/>
      <c r="G13" s="222"/>
      <c r="H13" s="90"/>
      <c r="I13" s="223"/>
      <c r="J13" s="224"/>
      <c r="K13" s="225"/>
      <c r="L13" s="226"/>
      <c r="M13" s="227"/>
    </row>
    <row r="14" spans="1:13" ht="15.75">
      <c r="A14" s="219"/>
      <c r="B14" s="75"/>
      <c r="C14" s="220"/>
      <c r="D14" s="89"/>
      <c r="E14" s="89"/>
      <c r="F14" s="221"/>
      <c r="G14" s="222"/>
      <c r="H14" s="90"/>
      <c r="I14" s="223"/>
      <c r="J14" s="224"/>
      <c r="K14" s="225"/>
      <c r="L14" s="226"/>
      <c r="M14" s="227"/>
    </row>
    <row r="15" spans="1:13" ht="15.75">
      <c r="A15" s="219"/>
      <c r="B15" s="75"/>
      <c r="C15" s="220"/>
      <c r="D15" s="89"/>
      <c r="E15" s="89"/>
      <c r="F15" s="221"/>
      <c r="G15" s="222"/>
      <c r="H15" s="90"/>
      <c r="I15" s="223"/>
      <c r="J15" s="224"/>
      <c r="K15" s="225"/>
      <c r="L15" s="226"/>
      <c r="M15" s="227"/>
    </row>
    <row r="16" spans="1:13" ht="15.75">
      <c r="A16" s="219"/>
      <c r="B16" s="75"/>
      <c r="C16" s="220"/>
      <c r="D16" s="89"/>
      <c r="E16" s="89"/>
      <c r="F16" s="221"/>
      <c r="G16" s="222"/>
      <c r="H16" s="90"/>
      <c r="I16" s="223"/>
      <c r="J16" s="224"/>
      <c r="K16" s="225"/>
      <c r="L16" s="226"/>
      <c r="M16" s="227"/>
    </row>
    <row r="17" spans="1:12" ht="25.5" customHeight="1">
      <c r="A17" s="228"/>
      <c r="B17" s="228"/>
      <c r="C17" s="228"/>
      <c r="D17" s="228"/>
      <c r="E17" s="228"/>
      <c r="F17" s="228"/>
      <c r="G17" s="29"/>
      <c r="H17" s="29"/>
      <c r="I17" s="29"/>
      <c r="J17" s="29"/>
      <c r="K17" s="29"/>
      <c r="L17" s="29"/>
    </row>
    <row r="18" spans="1:12" ht="24" customHeight="1">
      <c r="A18" s="228"/>
      <c r="B18" s="228"/>
      <c r="C18" s="228"/>
      <c r="D18" s="228"/>
      <c r="E18" s="228"/>
      <c r="F18" s="228"/>
      <c r="G18" s="29"/>
      <c r="H18" s="29"/>
      <c r="I18" s="29"/>
      <c r="J18" s="29"/>
      <c r="K18" s="29"/>
      <c r="L18" s="29"/>
    </row>
    <row r="19" spans="1:12" ht="24" customHeight="1">
      <c r="A19" s="26"/>
      <c r="B19" s="26"/>
      <c r="C19" s="27"/>
      <c r="D19" s="28"/>
      <c r="E19" s="9"/>
      <c r="G19" s="29"/>
      <c r="H19" s="29"/>
      <c r="I19" s="29"/>
      <c r="J19" s="29"/>
      <c r="K19" s="29"/>
      <c r="L19" s="29"/>
    </row>
    <row r="20" spans="1:12" ht="24" customHeight="1">
      <c r="A20" s="26"/>
      <c r="B20" s="26"/>
      <c r="C20" s="27"/>
      <c r="D20" s="28"/>
      <c r="E20" s="9"/>
      <c r="G20" s="29"/>
      <c r="H20" s="29"/>
      <c r="I20" s="29"/>
      <c r="J20" s="29"/>
      <c r="K20" s="29"/>
      <c r="L20" s="29"/>
    </row>
    <row r="21" spans="1:11" ht="15">
      <c r="A21" s="9"/>
      <c r="B21" s="9"/>
      <c r="C21" s="9"/>
      <c r="D21" s="9"/>
      <c r="E21" s="9"/>
      <c r="F21" s="3"/>
      <c r="G21" s="5"/>
      <c r="H21" s="3"/>
      <c r="I21" s="3"/>
      <c r="J21" s="3"/>
      <c r="K21" s="3"/>
    </row>
    <row r="22" spans="1:6" ht="15.75">
      <c r="A22" s="80"/>
      <c r="B22" s="80"/>
      <c r="C22" s="80"/>
      <c r="D22" s="197"/>
      <c r="E22" s="197"/>
      <c r="F22" s="54"/>
    </row>
    <row r="23" spans="1:6" ht="15.75">
      <c r="A23" s="80"/>
      <c r="B23" s="80"/>
      <c r="C23" s="80"/>
      <c r="D23" s="179"/>
      <c r="E23" s="179"/>
      <c r="F23" s="12"/>
    </row>
    <row r="24" spans="1:5" ht="15">
      <c r="A24" s="198"/>
      <c r="B24" s="198"/>
      <c r="C24" s="198"/>
      <c r="D24" s="197"/>
      <c r="E24" s="197"/>
    </row>
    <row r="28" spans="1:6" ht="15">
      <c r="A28" s="179"/>
      <c r="B28" s="179"/>
      <c r="F28" s="179"/>
    </row>
    <row r="36" ht="15">
      <c r="F36" s="9"/>
    </row>
  </sheetData>
  <sheetProtection/>
  <dataValidations count="7">
    <dataValidation type="time" operator="greaterThanOrEqual" allowBlank="1" showInputMessage="1" sqref="E12">
      <formula1>0</formula1>
    </dataValidation>
    <dataValidation errorStyle="information" type="time" operator="greaterThanOrEqual" allowBlank="1" errorTitle="сообщениеаа" sqref="D12">
      <formula1>0</formula1>
    </dataValidation>
    <dataValidation type="list" allowBlank="1" showInputMessage="1" showErrorMessage="1" sqref="D4">
      <formula1>дисциплины</formula1>
    </dataValidation>
    <dataValidation type="time" operator="greaterThanOrEqual" allowBlank="1" showInputMessage="1" showErrorMessage="1" sqref="D13:D16">
      <formula1>0</formula1>
    </dataValidation>
    <dataValidation type="whole" operator="greaterThan" allowBlank="1" showErrorMessage="1" errorTitle="Внимание!" error="Данные в этой ячейке должны быть целым числом без любых дополнительных знаков." sqref="B12:B16">
      <formula1>0</formula1>
    </dataValidation>
    <dataValidation type="list" allowBlank="1" showInputMessage="1" showErrorMessage="1" sqref="O5">
      <formula1>вид_участия</formula1>
    </dataValidation>
    <dataValidation type="list" allowBlank="1" showInputMessage="1" showErrorMessage="1" sqref="O2">
      <formula1>дистанцииБаллы</formula1>
    </dataValidation>
  </dataValidations>
  <printOptions/>
  <pageMargins left="0.5905511811023623" right="0.5905511811023623" top="0.5905511811023623" bottom="0.5905511811023623" header="0" footer="0"/>
  <pageSetup fitToHeight="1" fitToWidth="1" horizontalDpi="300" verticalDpi="300" orientation="landscape" paperSize="9" scale="9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F29"/>
  <sheetViews>
    <sheetView zoomScalePageLayoutView="0" workbookViewId="0" topLeftCell="A1">
      <selection activeCell="O12" sqref="O12"/>
    </sheetView>
  </sheetViews>
  <sheetFormatPr defaultColWidth="9.140625" defaultRowHeight="15" outlineLevelCol="1"/>
  <cols>
    <col min="1" max="1" width="8.57421875" style="111" customWidth="1"/>
    <col min="2" max="2" width="7.8515625" style="111" customWidth="1"/>
    <col min="3" max="3" width="36.28125" style="111" customWidth="1"/>
    <col min="4" max="5" width="11.7109375" style="111" customWidth="1"/>
    <col min="6" max="6" width="7.421875" style="111" hidden="1" customWidth="1" outlineLevel="1"/>
    <col min="7" max="7" width="11.7109375" style="125" bestFit="1" customWidth="1" collapsed="1"/>
    <col min="8" max="8" width="5.8515625" style="111" hidden="1" customWidth="1" outlineLevel="1"/>
    <col min="9" max="9" width="6.28125" style="111" customWidth="1" collapsed="1"/>
    <col min="10" max="16" width="5.28125" style="111" customWidth="1"/>
    <col min="17" max="17" width="5.28125" style="111" hidden="1" customWidth="1"/>
    <col min="18" max="27" width="5.28125" style="111" customWidth="1"/>
    <col min="28" max="28" width="5.28125" style="111" hidden="1" customWidth="1"/>
    <col min="29" max="29" width="8.421875" style="111" customWidth="1"/>
    <col min="30" max="30" width="9.57421875" style="111" customWidth="1"/>
    <col min="31" max="31" width="10.00390625" style="111" customWidth="1"/>
    <col min="32" max="16384" width="9.140625" style="111" customWidth="1"/>
  </cols>
  <sheetData>
    <row r="1" spans="1:31" ht="26.25" customHeight="1">
      <c r="A1" s="80"/>
      <c r="B1" s="288"/>
      <c r="C1" s="288"/>
      <c r="D1" s="289" t="s">
        <v>157</v>
      </c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  <c r="T1" s="290"/>
      <c r="U1" s="290"/>
      <c r="V1" s="290"/>
      <c r="W1" s="290"/>
      <c r="X1" s="290"/>
      <c r="Y1" s="290"/>
      <c r="Z1" s="290"/>
      <c r="AA1" s="290"/>
      <c r="AB1" s="290"/>
      <c r="AC1" s="290"/>
      <c r="AD1" s="290"/>
      <c r="AE1" s="291"/>
    </row>
    <row r="2" spans="1:31" ht="22.5" customHeight="1">
      <c r="A2" s="81"/>
      <c r="B2" s="288"/>
      <c r="C2" s="288"/>
      <c r="D2" s="292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W2" s="293"/>
      <c r="X2" s="293"/>
      <c r="Y2" s="293"/>
      <c r="Z2" s="293"/>
      <c r="AA2" s="293"/>
      <c r="AB2" s="293"/>
      <c r="AC2" s="293"/>
      <c r="AD2" s="293"/>
      <c r="AE2" s="294"/>
    </row>
    <row r="3" spans="2:31" ht="15.75" customHeight="1">
      <c r="B3" s="295" t="s">
        <v>1</v>
      </c>
      <c r="C3" s="296"/>
      <c r="D3" s="297" t="e">
        <f>РангСоревнований</f>
        <v>#REF!</v>
      </c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97"/>
      <c r="R3" s="297"/>
      <c r="S3" s="297"/>
      <c r="T3" s="297"/>
      <c r="U3" s="297"/>
      <c r="V3" s="297"/>
      <c r="W3" s="297"/>
      <c r="X3" s="297"/>
      <c r="Y3" s="297"/>
      <c r="Z3" s="297"/>
      <c r="AA3" s="297"/>
      <c r="AB3" s="297"/>
      <c r="AC3" s="297"/>
      <c r="AD3" s="297"/>
      <c r="AE3" s="297"/>
    </row>
    <row r="4" spans="2:31" ht="15.75" customHeight="1">
      <c r="B4" s="298" t="s">
        <v>2</v>
      </c>
      <c r="C4" s="299"/>
      <c r="D4" s="300" t="s">
        <v>48</v>
      </c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1"/>
      <c r="P4" s="301"/>
      <c r="Q4" s="301"/>
      <c r="R4" s="301"/>
      <c r="S4" s="301"/>
      <c r="T4" s="301"/>
      <c r="U4" s="301"/>
      <c r="V4" s="301"/>
      <c r="W4" s="301"/>
      <c r="X4" s="301"/>
      <c r="Y4" s="301"/>
      <c r="Z4" s="301"/>
      <c r="AA4" s="301"/>
      <c r="AB4" s="301"/>
      <c r="AC4" s="301"/>
      <c r="AD4" s="301"/>
      <c r="AE4" s="302"/>
    </row>
    <row r="5" spans="2:31" ht="15.75" customHeight="1">
      <c r="B5" s="298" t="s">
        <v>3</v>
      </c>
      <c r="C5" s="299"/>
      <c r="D5" s="305" t="s">
        <v>169</v>
      </c>
      <c r="E5" s="305"/>
      <c r="F5" s="305"/>
      <c r="G5" s="305"/>
      <c r="H5" s="305"/>
      <c r="I5" s="305"/>
      <c r="J5" s="305"/>
      <c r="K5" s="305"/>
      <c r="L5" s="305"/>
      <c r="M5" s="305"/>
      <c r="N5" s="305"/>
      <c r="O5" s="305"/>
      <c r="P5" s="305"/>
      <c r="Q5" s="305"/>
      <c r="R5" s="305"/>
      <c r="S5" s="305"/>
      <c r="T5" s="305"/>
      <c r="U5" s="305"/>
      <c r="V5" s="305"/>
      <c r="W5" s="305"/>
      <c r="X5" s="305"/>
      <c r="Y5" s="305"/>
      <c r="Z5" s="305"/>
      <c r="AA5" s="305"/>
      <c r="AB5" s="305"/>
      <c r="AC5" s="305"/>
      <c r="AD5" s="305"/>
      <c r="AE5" s="305"/>
    </row>
    <row r="6" spans="2:31" ht="15.75" customHeight="1">
      <c r="B6" s="298" t="s">
        <v>4</v>
      </c>
      <c r="C6" s="299"/>
      <c r="D6" s="306"/>
      <c r="E6" s="306"/>
      <c r="F6" s="306"/>
      <c r="G6" s="306"/>
      <c r="H6" s="306"/>
      <c r="I6" s="306"/>
      <c r="J6" s="306"/>
      <c r="K6" s="306"/>
      <c r="L6" s="306"/>
      <c r="M6" s="306"/>
      <c r="N6" s="306"/>
      <c r="O6" s="306"/>
      <c r="P6" s="306"/>
      <c r="Q6" s="306"/>
      <c r="R6" s="306"/>
      <c r="S6" s="306"/>
      <c r="T6" s="306"/>
      <c r="U6" s="306"/>
      <c r="V6" s="306"/>
      <c r="W6" s="306"/>
      <c r="X6" s="306"/>
      <c r="Y6" s="306"/>
      <c r="Z6" s="306"/>
      <c r="AA6" s="306"/>
      <c r="AB6" s="306"/>
      <c r="AC6" s="306"/>
      <c r="AD6" s="306"/>
      <c r="AE6" s="306"/>
    </row>
    <row r="7" spans="2:31" ht="15.75" customHeight="1">
      <c r="B7" s="298" t="s">
        <v>5</v>
      </c>
      <c r="C7" s="299"/>
      <c r="D7" s="306"/>
      <c r="E7" s="306"/>
      <c r="F7" s="306"/>
      <c r="G7" s="306"/>
      <c r="H7" s="306"/>
      <c r="I7" s="306"/>
      <c r="J7" s="306"/>
      <c r="K7" s="306"/>
      <c r="L7" s="306"/>
      <c r="M7" s="306"/>
      <c r="N7" s="306"/>
      <c r="O7" s="306"/>
      <c r="P7" s="306"/>
      <c r="Q7" s="306"/>
      <c r="R7" s="306"/>
      <c r="S7" s="306"/>
      <c r="T7" s="306"/>
      <c r="U7" s="306"/>
      <c r="V7" s="306"/>
      <c r="W7" s="306"/>
      <c r="X7" s="306"/>
      <c r="Y7" s="306"/>
      <c r="Z7" s="306"/>
      <c r="AA7" s="306"/>
      <c r="AB7" s="306"/>
      <c r="AC7" s="306"/>
      <c r="AD7" s="306"/>
      <c r="AE7" s="306"/>
    </row>
    <row r="8" spans="1:31" ht="15">
      <c r="A8" s="1"/>
      <c r="B8" s="1"/>
      <c r="C8" s="1"/>
      <c r="D8" s="1"/>
      <c r="E8" s="1"/>
      <c r="F8" s="1"/>
      <c r="G8" s="122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2:31" ht="15.75">
      <c r="B9" s="307" t="s">
        <v>139</v>
      </c>
      <c r="C9" s="307"/>
      <c r="D9" s="307"/>
      <c r="E9" s="307"/>
      <c r="F9" s="307"/>
      <c r="G9" s="307"/>
      <c r="H9" s="307"/>
      <c r="I9" s="307"/>
      <c r="J9" s="307"/>
      <c r="K9" s="307"/>
      <c r="L9" s="307"/>
      <c r="M9" s="307"/>
      <c r="N9" s="307"/>
      <c r="O9" s="307"/>
      <c r="P9" s="307"/>
      <c r="Q9" s="307"/>
      <c r="R9" s="307"/>
      <c r="S9" s="307"/>
      <c r="T9" s="307"/>
      <c r="U9" s="307"/>
      <c r="V9" s="307"/>
      <c r="W9" s="307"/>
      <c r="X9" s="307"/>
      <c r="Y9" s="307"/>
      <c r="Z9" s="307"/>
      <c r="AA9" s="307"/>
      <c r="AB9" s="307"/>
      <c r="AC9" s="307"/>
      <c r="AD9" s="307"/>
      <c r="AE9" s="307"/>
    </row>
    <row r="10" spans="1:31" ht="20.25" customHeight="1">
      <c r="A10" s="83"/>
      <c r="B10" s="308"/>
      <c r="C10" s="309"/>
      <c r="D10" s="309"/>
      <c r="E10" s="309"/>
      <c r="F10" s="309"/>
      <c r="G10" s="310"/>
      <c r="H10" s="84"/>
      <c r="I10" s="311" t="s">
        <v>194</v>
      </c>
      <c r="J10" s="312"/>
      <c r="K10" s="312"/>
      <c r="L10" s="312"/>
      <c r="M10" s="312"/>
      <c r="N10" s="312"/>
      <c r="O10" s="312"/>
      <c r="P10" s="312"/>
      <c r="Q10" s="312"/>
      <c r="R10" s="312"/>
      <c r="S10" s="312"/>
      <c r="T10" s="312"/>
      <c r="U10" s="312"/>
      <c r="V10" s="312"/>
      <c r="W10" s="312"/>
      <c r="X10" s="312"/>
      <c r="Y10" s="312"/>
      <c r="Z10" s="312"/>
      <c r="AA10" s="312"/>
      <c r="AB10" s="313"/>
      <c r="AC10" s="311" t="s">
        <v>34</v>
      </c>
      <c r="AD10" s="313"/>
      <c r="AE10" s="180"/>
    </row>
    <row r="11" spans="1:31" ht="77.25" customHeight="1">
      <c r="A11" s="79" t="s">
        <v>154</v>
      </c>
      <c r="B11" s="15" t="s">
        <v>39</v>
      </c>
      <c r="C11" s="60" t="s">
        <v>41</v>
      </c>
      <c r="D11" s="40" t="s">
        <v>37</v>
      </c>
      <c r="E11" s="40" t="s">
        <v>36</v>
      </c>
      <c r="F11" s="40" t="s">
        <v>35</v>
      </c>
      <c r="G11" s="128" t="s">
        <v>149</v>
      </c>
      <c r="H11" s="61" t="s">
        <v>38</v>
      </c>
      <c r="I11" s="38" t="s">
        <v>17</v>
      </c>
      <c r="J11" s="38" t="s">
        <v>16</v>
      </c>
      <c r="K11" s="38" t="s">
        <v>19</v>
      </c>
      <c r="L11" s="38" t="s">
        <v>15</v>
      </c>
      <c r="M11" s="38" t="s">
        <v>30</v>
      </c>
      <c r="N11" s="38" t="s">
        <v>20</v>
      </c>
      <c r="O11" s="38" t="s">
        <v>26</v>
      </c>
      <c r="P11" s="38" t="s">
        <v>141</v>
      </c>
      <c r="Q11" s="38" t="s">
        <v>21</v>
      </c>
      <c r="R11" s="38" t="s">
        <v>29</v>
      </c>
      <c r="S11" s="38" t="s">
        <v>27</v>
      </c>
      <c r="T11" s="38" t="s">
        <v>25</v>
      </c>
      <c r="U11" s="38" t="s">
        <v>18</v>
      </c>
      <c r="V11" s="38" t="s">
        <v>140</v>
      </c>
      <c r="W11" s="38" t="s">
        <v>22</v>
      </c>
      <c r="X11" s="38" t="s">
        <v>23</v>
      </c>
      <c r="Y11" s="38" t="s">
        <v>24</v>
      </c>
      <c r="Z11" s="38" t="s">
        <v>184</v>
      </c>
      <c r="AA11" s="38" t="s">
        <v>192</v>
      </c>
      <c r="AB11" s="38" t="s">
        <v>193</v>
      </c>
      <c r="AC11" s="15" t="s">
        <v>9</v>
      </c>
      <c r="AD11" s="19" t="s">
        <v>32</v>
      </c>
      <c r="AE11" s="20" t="s">
        <v>150</v>
      </c>
    </row>
    <row r="12" spans="1:31" ht="18" customHeight="1">
      <c r="A12" s="173"/>
      <c r="B12" s="16">
        <f>_xlfn.IFERROR(VLOOKUP('К4-Ж-1п'!$A12,#REF!,2,0),0)</f>
        <v>0</v>
      </c>
      <c r="C12" s="71">
        <f>_xlfn.IFERROR(VLOOKUP('К4-Ж-1п'!$A12,#REF!,3,0),0)</f>
        <v>0</v>
      </c>
      <c r="D12" s="37">
        <v>0</v>
      </c>
      <c r="E12" s="37">
        <v>0</v>
      </c>
      <c r="F12" s="37"/>
      <c r="G12" s="73">
        <f>'К4-Ж-1п'!$E12-'К4-Ж-1п'!$D12</f>
        <v>0</v>
      </c>
      <c r="H12" s="16">
        <f>IF(TYPE(H11)=1,IF(H11=1,2,1),1)</f>
        <v>1</v>
      </c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16">
        <f>SUM('К4-Ж-1п'!$I12:$AB12)</f>
        <v>0</v>
      </c>
      <c r="AD12" s="7" t="e">
        <f>'К4-Ж-1п'!$AC12*ЦенаБалла</f>
        <v>#REF!</v>
      </c>
      <c r="AE12" s="6" t="e">
        <f>'К4-Ж-1п'!$G12+'К4-Ж-1п'!$AD12</f>
        <v>#REF!</v>
      </c>
    </row>
    <row r="13" spans="1:31" ht="15.75">
      <c r="A13" s="173"/>
      <c r="B13" s="16">
        <f>_xlfn.IFERROR(VLOOKUP('К4-Ж-1п'!$A13,#REF!,2,0),0)</f>
        <v>0</v>
      </c>
      <c r="C13" s="71">
        <f>_xlfn.IFERROR(VLOOKUP('К4-Ж-1п'!$A13,#REF!,3,0),0)</f>
        <v>0</v>
      </c>
      <c r="D13" s="37"/>
      <c r="E13" s="37"/>
      <c r="F13" s="37"/>
      <c r="G13" s="73">
        <f>'К4-Ж-1п'!$E13-'К4-Ж-1п'!$D13</f>
        <v>0</v>
      </c>
      <c r="H13" s="16">
        <f>IF(TYPE(H12)=1,IF(H12=1,2,1),1)</f>
        <v>2</v>
      </c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16">
        <f>SUM('К4-Ж-1п'!$I13:$AB13)</f>
        <v>0</v>
      </c>
      <c r="AD13" s="7" t="e">
        <f>'К4-Ж-1п'!$AC13*ЦенаБалла</f>
        <v>#REF!</v>
      </c>
      <c r="AE13" s="6" t="e">
        <f>'К4-Ж-1п'!$G13+'К4-Ж-1п'!$AD13</f>
        <v>#REF!</v>
      </c>
    </row>
    <row r="14" spans="1:31" ht="15.75">
      <c r="A14" s="173"/>
      <c r="B14" s="16">
        <f>_xlfn.IFERROR(VLOOKUP('К4-Ж-1п'!$A14,#REF!,2,0),0)</f>
        <v>0</v>
      </c>
      <c r="C14" s="71">
        <f>_xlfn.IFERROR(VLOOKUP('К4-Ж-1п'!$A14,#REF!,3,0),0)</f>
        <v>0</v>
      </c>
      <c r="D14" s="37"/>
      <c r="E14" s="37"/>
      <c r="F14" s="37"/>
      <c r="G14" s="73">
        <f>'К4-Ж-1п'!$E14-'К4-Ж-1п'!$D14</f>
        <v>0</v>
      </c>
      <c r="H14" s="16">
        <f>IF(TYPE(H13)=1,IF(H13=1,2,1),1)</f>
        <v>1</v>
      </c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16">
        <f>SUM('К4-Ж-1п'!$I14:$AB14)</f>
        <v>0</v>
      </c>
      <c r="AD14" s="7" t="e">
        <f>'К4-Ж-1п'!$AC14*ЦенаБалла</f>
        <v>#REF!</v>
      </c>
      <c r="AE14" s="6" t="e">
        <f>'К4-Ж-1п'!$G14+'К4-Ж-1п'!$AD14</f>
        <v>#REF!</v>
      </c>
    </row>
    <row r="15" spans="1:31" ht="15.75">
      <c r="A15" s="173"/>
      <c r="B15" s="16">
        <f>_xlfn.IFERROR(VLOOKUP('К4-Ж-1п'!$A15,#REF!,2,0),0)</f>
        <v>0</v>
      </c>
      <c r="C15" s="71">
        <f>_xlfn.IFERROR(VLOOKUP('К4-Ж-1п'!$A15,#REF!,3,0),0)</f>
        <v>0</v>
      </c>
      <c r="D15" s="37"/>
      <c r="E15" s="37"/>
      <c r="F15" s="37"/>
      <c r="G15" s="73">
        <f>'К4-Ж-1п'!$E15-'К4-Ж-1п'!$D15</f>
        <v>0</v>
      </c>
      <c r="H15" s="16">
        <f>IF(TYPE(H14)=1,IF(H14=1,2,1),1)</f>
        <v>2</v>
      </c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16">
        <f>SUM('К4-Ж-1п'!$I15:$AB15)</f>
        <v>0</v>
      </c>
      <c r="AD15" s="7" t="e">
        <f>'К4-Ж-1п'!$AC15*ЦенаБалла</f>
        <v>#REF!</v>
      </c>
      <c r="AE15" s="6" t="e">
        <f>'К4-Ж-1п'!$G15+'К4-Ж-1п'!$AD15</f>
        <v>#REF!</v>
      </c>
    </row>
    <row r="16" spans="1:31" ht="15.75">
      <c r="A16" s="173"/>
      <c r="B16" s="16">
        <f>_xlfn.IFERROR(VLOOKUP('К4-Ж-1п'!$A16,#REF!,2,0),0)</f>
        <v>0</v>
      </c>
      <c r="C16" s="71">
        <f>_xlfn.IFERROR(VLOOKUP('К4-Ж-1п'!$A16,#REF!,3,0),0)</f>
        <v>0</v>
      </c>
      <c r="D16" s="37"/>
      <c r="E16" s="37"/>
      <c r="F16" s="37"/>
      <c r="G16" s="73">
        <f>'К4-Ж-1п'!$E16-'К4-Ж-1п'!$D16</f>
        <v>0</v>
      </c>
      <c r="H16" s="16">
        <f>IF(TYPE(#REF!)=1,IF(#REF!=1,2,1),1)</f>
        <v>1</v>
      </c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16">
        <f>SUM('К4-Ж-1п'!$I16:$AB16)</f>
        <v>0</v>
      </c>
      <c r="AD16" s="7" t="e">
        <f>'К4-Ж-1п'!$AC16*ЦенаБалла</f>
        <v>#REF!</v>
      </c>
      <c r="AE16" s="6" t="e">
        <f>'К4-Ж-1п'!$G16+'К4-Ж-1п'!$AD16</f>
        <v>#REF!</v>
      </c>
    </row>
    <row r="17" spans="1:31" ht="15.75">
      <c r="A17" s="173"/>
      <c r="B17" s="16">
        <f>_xlfn.IFERROR(VLOOKUP('К4-Ж-1п'!$A17,#REF!,2,0),0)</f>
        <v>0</v>
      </c>
      <c r="C17" s="71">
        <f>_xlfn.IFERROR(VLOOKUP('К4-Ж-1п'!$A17,#REF!,3,0),0)</f>
        <v>0</v>
      </c>
      <c r="D17" s="37"/>
      <c r="E17" s="37"/>
      <c r="F17" s="37"/>
      <c r="G17" s="73">
        <f>'К4-Ж-1п'!$E17-'К4-Ж-1п'!$D17</f>
        <v>0</v>
      </c>
      <c r="H17" s="16">
        <f aca="true" t="shared" si="0" ref="H17:H26">IF(TYPE(H16)=1,IF(H16=1,2,1),1)</f>
        <v>2</v>
      </c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16">
        <f>SUM('К4-Ж-1п'!$I17:$AB17)</f>
        <v>0</v>
      </c>
      <c r="AD17" s="7" t="e">
        <f>'К4-Ж-1п'!$AC17*ЦенаБалла</f>
        <v>#REF!</v>
      </c>
      <c r="AE17" s="6" t="e">
        <f>'К4-Ж-1п'!$G17+'К4-Ж-1п'!$AD17</f>
        <v>#REF!</v>
      </c>
    </row>
    <row r="18" spans="1:31" ht="15.75">
      <c r="A18" s="173"/>
      <c r="B18" s="16">
        <f>_xlfn.IFERROR(VLOOKUP('К4-Ж-1п'!$A18,#REF!,2,0),0)</f>
        <v>0</v>
      </c>
      <c r="C18" s="71">
        <f>_xlfn.IFERROR(VLOOKUP('К4-Ж-1п'!$A18,#REF!,3,0),0)</f>
        <v>0</v>
      </c>
      <c r="D18" s="37"/>
      <c r="E18" s="37"/>
      <c r="F18" s="37"/>
      <c r="G18" s="73">
        <f>'К4-Ж-1п'!$E18-'К4-Ж-1п'!$D18</f>
        <v>0</v>
      </c>
      <c r="H18" s="16">
        <f t="shared" si="0"/>
        <v>1</v>
      </c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16">
        <f>SUM('К4-Ж-1п'!$I18:$AB18)</f>
        <v>0</v>
      </c>
      <c r="AD18" s="7" t="e">
        <f>'К4-Ж-1п'!$AC18*ЦенаБалла</f>
        <v>#REF!</v>
      </c>
      <c r="AE18" s="6" t="e">
        <f>'К4-Ж-1п'!$G18+'К4-Ж-1п'!$AD18</f>
        <v>#REF!</v>
      </c>
    </row>
    <row r="19" spans="1:31" ht="15.75">
      <c r="A19" s="173"/>
      <c r="B19" s="110">
        <f>_xlfn.IFERROR(VLOOKUP('К4-Ж-1п'!$A19,#REF!,2,0),0)</f>
        <v>0</v>
      </c>
      <c r="C19" s="109">
        <f>_xlfn.IFERROR(VLOOKUP('К4-Ж-1п'!$A19,#REF!,3,0),0)</f>
        <v>0</v>
      </c>
      <c r="D19" s="37"/>
      <c r="E19" s="37"/>
      <c r="F19" s="37"/>
      <c r="G19" s="73">
        <f>'К4-Ж-1п'!$E19-'К4-Ж-1п'!$D19</f>
        <v>0</v>
      </c>
      <c r="H19" s="110">
        <f t="shared" si="0"/>
        <v>2</v>
      </c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107"/>
      <c r="AC19" s="110">
        <f>SUM('К4-Ж-1п'!$I19:$AB19)</f>
        <v>0</v>
      </c>
      <c r="AD19" s="106" t="e">
        <f>'К4-Ж-1п'!$AC19*ЦенаБалла</f>
        <v>#REF!</v>
      </c>
      <c r="AE19" s="117" t="e">
        <f>'К4-Ж-1п'!$G19+'К4-Ж-1п'!$AD19</f>
        <v>#REF!</v>
      </c>
    </row>
    <row r="20" spans="1:31" s="14" customFormat="1" ht="15" customHeight="1">
      <c r="A20" s="173"/>
      <c r="B20" s="18">
        <f>_xlfn.IFERROR(VLOOKUP('К4-Ж-1п'!$A20,#REF!,2,0),0)</f>
        <v>0</v>
      </c>
      <c r="C20" s="72">
        <f>_xlfn.IFERROR(VLOOKUP('К4-Ж-1п'!$A20,#REF!,3,0),0)</f>
        <v>0</v>
      </c>
      <c r="D20" s="37"/>
      <c r="E20" s="37"/>
      <c r="F20" s="37"/>
      <c r="G20" s="73">
        <f>'К4-Ж-1п'!$E20-'К4-Ж-1п'!$D20</f>
        <v>0</v>
      </c>
      <c r="H20" s="18">
        <f t="shared" si="0"/>
        <v>1</v>
      </c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18">
        <f>SUM('К4-Ж-1п'!$I20:$AB20)</f>
        <v>0</v>
      </c>
      <c r="AD20" s="17" t="e">
        <f>'К4-Ж-1п'!$AC20*ЦенаБалла</f>
        <v>#REF!</v>
      </c>
      <c r="AE20" s="7" t="e">
        <f>'К4-Ж-1п'!$G20+'К4-Ж-1п'!$AD20</f>
        <v>#REF!</v>
      </c>
    </row>
    <row r="21" spans="1:31" s="14" customFormat="1" ht="15" customHeight="1">
      <c r="A21" s="173"/>
      <c r="B21" s="16">
        <f>_xlfn.IFERROR(VLOOKUP('К4-Ж-1п'!$A21,#REF!,2,0),0)</f>
        <v>0</v>
      </c>
      <c r="C21" s="71">
        <f>_xlfn.IFERROR(VLOOKUP('К4-Ж-1п'!$A21,#REF!,3,0),0)</f>
        <v>0</v>
      </c>
      <c r="D21" s="37"/>
      <c r="E21" s="37"/>
      <c r="F21" s="37"/>
      <c r="G21" s="73">
        <f>'К4-Ж-1п'!$E21-'К4-Ж-1п'!$D21</f>
        <v>0</v>
      </c>
      <c r="H21" s="16">
        <f t="shared" si="0"/>
        <v>2</v>
      </c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16">
        <f>SUM('К4-Ж-1п'!$I21:$AB21)</f>
        <v>0</v>
      </c>
      <c r="AD21" s="17" t="e">
        <f>'К4-Ж-1п'!$AC21*ЦенаБалла</f>
        <v>#REF!</v>
      </c>
      <c r="AE21" s="6" t="e">
        <f>'К4-Ж-1п'!$G21+'К4-Ж-1п'!$AD21</f>
        <v>#REF!</v>
      </c>
    </row>
    <row r="22" spans="1:31" s="14" customFormat="1" ht="15" customHeight="1">
      <c r="A22" s="173"/>
      <c r="B22" s="110">
        <f>_xlfn.IFERROR(VLOOKUP('К4-Ж-1п'!$A22,#REF!,2,0),0)</f>
        <v>0</v>
      </c>
      <c r="C22" s="109">
        <f>_xlfn.IFERROR(VLOOKUP('К4-Ж-1п'!$A22,#REF!,3,0),0)</f>
        <v>0</v>
      </c>
      <c r="D22" s="37"/>
      <c r="E22" s="37"/>
      <c r="F22" s="108"/>
      <c r="G22" s="73">
        <f>'К4-Ж-1п'!$E22-'К4-Ж-1п'!$D22</f>
        <v>0</v>
      </c>
      <c r="H22" s="110">
        <f t="shared" si="0"/>
        <v>1</v>
      </c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107"/>
      <c r="AC22" s="110">
        <f>SUM('К4-Ж-1п'!$I22:$AB22)</f>
        <v>0</v>
      </c>
      <c r="AD22" s="106" t="e">
        <f>'К4-Ж-1п'!$AC22*ЦенаБалла</f>
        <v>#REF!</v>
      </c>
      <c r="AE22" s="117" t="e">
        <f>'К4-Ж-1п'!$G22+'К4-Ж-1п'!$AD22</f>
        <v>#REF!</v>
      </c>
    </row>
    <row r="23" spans="1:31" s="14" customFormat="1" ht="15.75">
      <c r="A23" s="183"/>
      <c r="B23" s="184">
        <f>_xlfn.IFERROR(VLOOKUP('К4-Ж-1п'!$A23,#REF!,2,0),0)</f>
        <v>0</v>
      </c>
      <c r="C23" s="186">
        <f>_xlfn.IFERROR(VLOOKUP('К4-Ж-1п'!$A23,#REF!,3,0),0)</f>
        <v>0</v>
      </c>
      <c r="D23" s="188"/>
      <c r="E23" s="188"/>
      <c r="F23" s="188"/>
      <c r="G23" s="194">
        <f>'К4-Ж-1п'!$E23-'К4-Ж-1п'!$D23</f>
        <v>0</v>
      </c>
      <c r="H23" s="185">
        <f t="shared" si="0"/>
        <v>2</v>
      </c>
      <c r="I23" s="190"/>
      <c r="J23" s="190"/>
      <c r="K23" s="190"/>
      <c r="L23" s="190"/>
      <c r="M23" s="190"/>
      <c r="N23" s="190"/>
      <c r="O23" s="190"/>
      <c r="P23" s="190"/>
      <c r="Q23" s="190"/>
      <c r="R23" s="190"/>
      <c r="S23" s="190"/>
      <c r="T23" s="190"/>
      <c r="U23" s="190"/>
      <c r="V23" s="191"/>
      <c r="W23" s="191"/>
      <c r="X23" s="191"/>
      <c r="Y23" s="191"/>
      <c r="Z23" s="191"/>
      <c r="AA23" s="191"/>
      <c r="AB23" s="191"/>
      <c r="AC23" s="185">
        <f>SUM('К4-Ж-1п'!$I23:$AB23)</f>
        <v>0</v>
      </c>
      <c r="AD23" s="192" t="e">
        <f>'К4-Ж-1п'!$AC23*ЦенаБалла</f>
        <v>#REF!</v>
      </c>
      <c r="AE23" s="193" t="e">
        <f>'К4-Ж-1п'!$G23+'К4-Ж-1п'!$AD23</f>
        <v>#REF!</v>
      </c>
    </row>
    <row r="24" spans="1:31" ht="15.75">
      <c r="A24" s="183"/>
      <c r="B24" s="185">
        <f>_xlfn.IFERROR(VLOOKUP('К4-Ж-1п'!$A24,#REF!,2,0),0)</f>
        <v>0</v>
      </c>
      <c r="C24" s="187">
        <f>_xlfn.IFERROR(VLOOKUP('К4-Ж-1п'!$A24,#REF!,3,0),0)</f>
        <v>0</v>
      </c>
      <c r="D24" s="189"/>
      <c r="E24" s="189"/>
      <c r="F24" s="189"/>
      <c r="G24" s="73">
        <f>'К4-Ж-1п'!$E24-'К4-Ж-1п'!$D24</f>
        <v>0</v>
      </c>
      <c r="H24" s="185">
        <f t="shared" si="0"/>
        <v>1</v>
      </c>
      <c r="I24" s="191"/>
      <c r="J24" s="191"/>
      <c r="K24" s="191"/>
      <c r="L24" s="191"/>
      <c r="M24" s="191"/>
      <c r="N24" s="191"/>
      <c r="O24" s="191"/>
      <c r="P24" s="191"/>
      <c r="Q24" s="191"/>
      <c r="R24" s="191"/>
      <c r="S24" s="191"/>
      <c r="T24" s="191"/>
      <c r="U24" s="191"/>
      <c r="V24" s="191"/>
      <c r="W24" s="191"/>
      <c r="X24" s="191"/>
      <c r="Y24" s="191"/>
      <c r="Z24" s="191"/>
      <c r="AA24" s="191"/>
      <c r="AB24" s="191"/>
      <c r="AC24" s="185">
        <f>SUM('К4-Ж-1п'!$I24:$AB24)</f>
        <v>0</v>
      </c>
      <c r="AD24" s="192" t="e">
        <f>'К4-Ж-1п'!$AC24*ЦенаБалла</f>
        <v>#REF!</v>
      </c>
      <c r="AE24" s="193" t="e">
        <f>'К4-Ж-1п'!$G24+'К4-Ж-1п'!$AD24</f>
        <v>#REF!</v>
      </c>
    </row>
    <row r="25" spans="1:31" ht="15.75">
      <c r="A25" s="183"/>
      <c r="B25" s="185">
        <f>_xlfn.IFERROR(VLOOKUP('К4-Ж-1п'!$A25,#REF!,2,0),0)</f>
        <v>0</v>
      </c>
      <c r="C25" s="187">
        <f>_xlfn.IFERROR(VLOOKUP('К4-Ж-1п'!$A25,#REF!,3,0),0)</f>
        <v>0</v>
      </c>
      <c r="D25" s="189"/>
      <c r="E25" s="189"/>
      <c r="F25" s="189"/>
      <c r="G25" s="73">
        <f>'К4-Ж-1п'!$E25-'К4-Ж-1п'!$D25</f>
        <v>0</v>
      </c>
      <c r="H25" s="185">
        <f t="shared" si="0"/>
        <v>2</v>
      </c>
      <c r="I25" s="191"/>
      <c r="J25" s="191"/>
      <c r="K25" s="191"/>
      <c r="L25" s="191"/>
      <c r="M25" s="191"/>
      <c r="N25" s="191"/>
      <c r="O25" s="191"/>
      <c r="P25" s="191"/>
      <c r="Q25" s="191"/>
      <c r="R25" s="191"/>
      <c r="S25" s="191"/>
      <c r="T25" s="191"/>
      <c r="U25" s="191"/>
      <c r="V25" s="191"/>
      <c r="W25" s="191"/>
      <c r="X25" s="191"/>
      <c r="Y25" s="191"/>
      <c r="Z25" s="191"/>
      <c r="AA25" s="191"/>
      <c r="AB25" s="191"/>
      <c r="AC25" s="185">
        <f>SUM('К4-Ж-1п'!$I25:$AB25)</f>
        <v>0</v>
      </c>
      <c r="AD25" s="192" t="e">
        <f>'К4-Ж-1п'!$AC25*ЦенаБалла</f>
        <v>#REF!</v>
      </c>
      <c r="AE25" s="193" t="e">
        <f>'К4-Ж-1п'!$G25+'К4-Ж-1п'!$AD25</f>
        <v>#REF!</v>
      </c>
    </row>
    <row r="26" spans="1:31" ht="15.75">
      <c r="A26" s="183"/>
      <c r="B26" s="185">
        <f>_xlfn.IFERROR(VLOOKUP('К4-Ж-1п'!$A26,#REF!,2,0),0)</f>
        <v>0</v>
      </c>
      <c r="C26" s="187">
        <f>_xlfn.IFERROR(VLOOKUP('К4-Ж-1п'!$A26,#REF!,3,0),0)</f>
        <v>0</v>
      </c>
      <c r="D26" s="189"/>
      <c r="E26" s="189"/>
      <c r="F26" s="189"/>
      <c r="G26" s="73">
        <f>'К4-Ж-1п'!$E26-'К4-Ж-1п'!$D26</f>
        <v>0</v>
      </c>
      <c r="H26" s="185">
        <f t="shared" si="0"/>
        <v>1</v>
      </c>
      <c r="I26" s="191"/>
      <c r="J26" s="191"/>
      <c r="K26" s="191"/>
      <c r="L26" s="191"/>
      <c r="M26" s="191"/>
      <c r="N26" s="191"/>
      <c r="O26" s="191"/>
      <c r="P26" s="191"/>
      <c r="Q26" s="191"/>
      <c r="R26" s="191"/>
      <c r="S26" s="191"/>
      <c r="T26" s="191"/>
      <c r="U26" s="191"/>
      <c r="V26" s="191"/>
      <c r="W26" s="191"/>
      <c r="X26" s="191"/>
      <c r="Y26" s="191"/>
      <c r="Z26" s="191"/>
      <c r="AA26" s="191"/>
      <c r="AB26" s="191"/>
      <c r="AC26" s="185">
        <f>SUM('К4-Ж-1п'!$I26:$AB26)</f>
        <v>0</v>
      </c>
      <c r="AD26" s="192" t="e">
        <f>'К4-Ж-1п'!$AC26*ЦенаБалла</f>
        <v>#REF!</v>
      </c>
      <c r="AE26" s="193" t="e">
        <f>'К4-Ж-1п'!$G26+'К4-Ж-1п'!$AD26</f>
        <v>#REF!</v>
      </c>
    </row>
    <row r="27" spans="2:32" ht="15.75">
      <c r="B27" s="82" t="s">
        <v>7</v>
      </c>
      <c r="C27" s="82"/>
      <c r="D27" s="304"/>
      <c r="E27" s="304"/>
      <c r="G27" s="123"/>
      <c r="H27" s="10"/>
      <c r="I27" s="14"/>
      <c r="J27" s="54" t="e">
        <f>фиосудья</f>
        <v>#REF!</v>
      </c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</row>
    <row r="28" spans="2:32" ht="15.75">
      <c r="B28" s="82" t="s">
        <v>6</v>
      </c>
      <c r="C28" s="82"/>
      <c r="D28" s="179"/>
      <c r="E28" s="179"/>
      <c r="F28" s="11"/>
      <c r="G28" s="124"/>
      <c r="H28" s="11"/>
      <c r="I28" s="14"/>
      <c r="J28" s="12" t="e">
        <f>фиосекретарь</f>
        <v>#REF!</v>
      </c>
      <c r="K28" s="12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</row>
    <row r="29" spans="2:11" ht="15">
      <c r="B29" s="303" t="e">
        <f>дата_протокол</f>
        <v>#REF!</v>
      </c>
      <c r="C29" s="303"/>
      <c r="D29" s="304"/>
      <c r="E29" s="304"/>
      <c r="I29" s="14"/>
      <c r="J29" s="14"/>
      <c r="K29" s="14"/>
    </row>
  </sheetData>
  <sheetProtection/>
  <mergeCells count="19">
    <mergeCell ref="B29:C29"/>
    <mergeCell ref="D29:E29"/>
    <mergeCell ref="B5:C5"/>
    <mergeCell ref="D5:AE5"/>
    <mergeCell ref="B6:C6"/>
    <mergeCell ref="D6:AE6"/>
    <mergeCell ref="B7:C7"/>
    <mergeCell ref="D7:AE7"/>
    <mergeCell ref="B9:AE9"/>
    <mergeCell ref="B10:G10"/>
    <mergeCell ref="I10:AB10"/>
    <mergeCell ref="AC10:AD10"/>
    <mergeCell ref="D27:E27"/>
    <mergeCell ref="B1:C2"/>
    <mergeCell ref="D1:AE2"/>
    <mergeCell ref="B3:C3"/>
    <mergeCell ref="D3:AE3"/>
    <mergeCell ref="B4:C4"/>
    <mergeCell ref="D4:AE4"/>
  </mergeCells>
  <dataValidations count="3">
    <dataValidation type="whole" operator="greaterThan" allowBlank="1" showErrorMessage="1" errorTitle="Внимание!" error="Данные в этой ячейке должны быть целым числом без любых дополнительных знаков." sqref="B12:B26">
      <formula1>0</formula1>
    </dataValidation>
    <dataValidation type="list" allowBlank="1" showInputMessage="1" showErrorMessage="1" sqref="D4">
      <formula1>дисциплины</formula1>
    </dataValidation>
    <dataValidation type="time" operator="greaterThanOrEqual" allowBlank="1" showInputMessage="1" showErrorMessage="1" sqref="E22:E26 G12:G26 D22:D23 D12:E21">
      <formula1>0</formula1>
    </dataValidation>
  </dataValidations>
  <printOptions/>
  <pageMargins left="0.5905511811023623" right="0.5905511811023623" top="0.5905511811023623" bottom="0.5905511811023623" header="0" footer="0"/>
  <pageSetup fitToHeight="1" fitToWidth="1" horizontalDpi="300" verticalDpi="300" orientation="landscape" paperSize="9" scale="67" r:id="rId5"/>
  <drawing r:id="rId4"/>
  <legacyDrawing r:id="rId2"/>
  <tableParts>
    <tablePart r:id="rId3"/>
  </tablePart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F29"/>
  <sheetViews>
    <sheetView zoomScalePageLayoutView="0" workbookViewId="0" topLeftCell="A1">
      <selection activeCell="O12" sqref="O12"/>
    </sheetView>
  </sheetViews>
  <sheetFormatPr defaultColWidth="9.140625" defaultRowHeight="15" outlineLevelCol="1"/>
  <cols>
    <col min="1" max="1" width="8.57421875" style="111" customWidth="1"/>
    <col min="2" max="2" width="7.8515625" style="111" customWidth="1"/>
    <col min="3" max="3" width="36.28125" style="111" customWidth="1"/>
    <col min="4" max="5" width="11.7109375" style="111" customWidth="1"/>
    <col min="6" max="6" width="7.421875" style="111" hidden="1" customWidth="1" outlineLevel="1"/>
    <col min="7" max="7" width="11.7109375" style="125" bestFit="1" customWidth="1" collapsed="1"/>
    <col min="8" max="8" width="5.8515625" style="111" hidden="1" customWidth="1" outlineLevel="1"/>
    <col min="9" max="9" width="6.28125" style="111" customWidth="1" collapsed="1"/>
    <col min="10" max="16" width="5.28125" style="111" customWidth="1"/>
    <col min="17" max="17" width="5.28125" style="111" hidden="1" customWidth="1"/>
    <col min="18" max="27" width="5.28125" style="111" customWidth="1"/>
    <col min="28" max="28" width="5.28125" style="111" hidden="1" customWidth="1"/>
    <col min="29" max="29" width="8.421875" style="111" customWidth="1"/>
    <col min="30" max="30" width="9.57421875" style="111" customWidth="1"/>
    <col min="31" max="31" width="10.00390625" style="111" customWidth="1"/>
    <col min="32" max="16384" width="9.140625" style="111" customWidth="1"/>
  </cols>
  <sheetData>
    <row r="1" spans="1:31" ht="26.25" customHeight="1">
      <c r="A1" s="80"/>
      <c r="B1" s="288"/>
      <c r="C1" s="288"/>
      <c r="D1" s="289" t="s">
        <v>157</v>
      </c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  <c r="T1" s="290"/>
      <c r="U1" s="290"/>
      <c r="V1" s="290"/>
      <c r="W1" s="290"/>
      <c r="X1" s="290"/>
      <c r="Y1" s="290"/>
      <c r="Z1" s="290"/>
      <c r="AA1" s="290"/>
      <c r="AB1" s="290"/>
      <c r="AC1" s="290"/>
      <c r="AD1" s="290"/>
      <c r="AE1" s="291"/>
    </row>
    <row r="2" spans="1:31" ht="22.5" customHeight="1">
      <c r="A2" s="81"/>
      <c r="B2" s="288"/>
      <c r="C2" s="288"/>
      <c r="D2" s="292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W2" s="293"/>
      <c r="X2" s="293"/>
      <c r="Y2" s="293"/>
      <c r="Z2" s="293"/>
      <c r="AA2" s="293"/>
      <c r="AB2" s="293"/>
      <c r="AC2" s="293"/>
      <c r="AD2" s="293"/>
      <c r="AE2" s="294"/>
    </row>
    <row r="3" spans="2:31" ht="15.75" customHeight="1">
      <c r="B3" s="295" t="s">
        <v>1</v>
      </c>
      <c r="C3" s="296"/>
      <c r="D3" s="297" t="e">
        <f>РангСоревнований</f>
        <v>#REF!</v>
      </c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97"/>
      <c r="R3" s="297"/>
      <c r="S3" s="297"/>
      <c r="T3" s="297"/>
      <c r="U3" s="297"/>
      <c r="V3" s="297"/>
      <c r="W3" s="297"/>
      <c r="X3" s="297"/>
      <c r="Y3" s="297"/>
      <c r="Z3" s="297"/>
      <c r="AA3" s="297"/>
      <c r="AB3" s="297"/>
      <c r="AC3" s="297"/>
      <c r="AD3" s="297"/>
      <c r="AE3" s="297"/>
    </row>
    <row r="4" spans="2:31" ht="15.75" customHeight="1">
      <c r="B4" s="298" t="s">
        <v>2</v>
      </c>
      <c r="C4" s="299"/>
      <c r="D4" s="300" t="s">
        <v>48</v>
      </c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1"/>
      <c r="P4" s="301"/>
      <c r="Q4" s="301"/>
      <c r="R4" s="301"/>
      <c r="S4" s="301"/>
      <c r="T4" s="301"/>
      <c r="U4" s="301"/>
      <c r="V4" s="301"/>
      <c r="W4" s="301"/>
      <c r="X4" s="301"/>
      <c r="Y4" s="301"/>
      <c r="Z4" s="301"/>
      <c r="AA4" s="301"/>
      <c r="AB4" s="301"/>
      <c r="AC4" s="301"/>
      <c r="AD4" s="301"/>
      <c r="AE4" s="302"/>
    </row>
    <row r="5" spans="2:31" ht="15.75" customHeight="1">
      <c r="B5" s="298" t="s">
        <v>3</v>
      </c>
      <c r="C5" s="299"/>
      <c r="D5" s="305" t="s">
        <v>169</v>
      </c>
      <c r="E5" s="305"/>
      <c r="F5" s="305"/>
      <c r="G5" s="305"/>
      <c r="H5" s="305"/>
      <c r="I5" s="305"/>
      <c r="J5" s="305"/>
      <c r="K5" s="305"/>
      <c r="L5" s="305"/>
      <c r="M5" s="305"/>
      <c r="N5" s="305"/>
      <c r="O5" s="305"/>
      <c r="P5" s="305"/>
      <c r="Q5" s="305"/>
      <c r="R5" s="305"/>
      <c r="S5" s="305"/>
      <c r="T5" s="305"/>
      <c r="U5" s="305"/>
      <c r="V5" s="305"/>
      <c r="W5" s="305"/>
      <c r="X5" s="305"/>
      <c r="Y5" s="305"/>
      <c r="Z5" s="305"/>
      <c r="AA5" s="305"/>
      <c r="AB5" s="305"/>
      <c r="AC5" s="305"/>
      <c r="AD5" s="305"/>
      <c r="AE5" s="305"/>
    </row>
    <row r="6" spans="2:31" ht="15.75" customHeight="1">
      <c r="B6" s="298" t="s">
        <v>4</v>
      </c>
      <c r="C6" s="299"/>
      <c r="D6" s="306"/>
      <c r="E6" s="306"/>
      <c r="F6" s="306"/>
      <c r="G6" s="306"/>
      <c r="H6" s="306"/>
      <c r="I6" s="306"/>
      <c r="J6" s="306"/>
      <c r="K6" s="306"/>
      <c r="L6" s="306"/>
      <c r="M6" s="306"/>
      <c r="N6" s="306"/>
      <c r="O6" s="306"/>
      <c r="P6" s="306"/>
      <c r="Q6" s="306"/>
      <c r="R6" s="306"/>
      <c r="S6" s="306"/>
      <c r="T6" s="306"/>
      <c r="U6" s="306"/>
      <c r="V6" s="306"/>
      <c r="W6" s="306"/>
      <c r="X6" s="306"/>
      <c r="Y6" s="306"/>
      <c r="Z6" s="306"/>
      <c r="AA6" s="306"/>
      <c r="AB6" s="306"/>
      <c r="AC6" s="306"/>
      <c r="AD6" s="306"/>
      <c r="AE6" s="306"/>
    </row>
    <row r="7" spans="2:31" ht="15.75" customHeight="1">
      <c r="B7" s="298" t="s">
        <v>5</v>
      </c>
      <c r="C7" s="299"/>
      <c r="D7" s="306"/>
      <c r="E7" s="306"/>
      <c r="F7" s="306"/>
      <c r="G7" s="306"/>
      <c r="H7" s="306"/>
      <c r="I7" s="306"/>
      <c r="J7" s="306"/>
      <c r="K7" s="306"/>
      <c r="L7" s="306"/>
      <c r="M7" s="306"/>
      <c r="N7" s="306"/>
      <c r="O7" s="306"/>
      <c r="P7" s="306"/>
      <c r="Q7" s="306"/>
      <c r="R7" s="306"/>
      <c r="S7" s="306"/>
      <c r="T7" s="306"/>
      <c r="U7" s="306"/>
      <c r="V7" s="306"/>
      <c r="W7" s="306"/>
      <c r="X7" s="306"/>
      <c r="Y7" s="306"/>
      <c r="Z7" s="306"/>
      <c r="AA7" s="306"/>
      <c r="AB7" s="306"/>
      <c r="AC7" s="306"/>
      <c r="AD7" s="306"/>
      <c r="AE7" s="306"/>
    </row>
    <row r="8" spans="1:31" ht="15">
      <c r="A8" s="1"/>
      <c r="B8" s="1"/>
      <c r="C8" s="1"/>
      <c r="D8" s="1"/>
      <c r="E8" s="1"/>
      <c r="F8" s="1"/>
      <c r="G8" s="122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2:31" ht="15.75">
      <c r="B9" s="307" t="s">
        <v>142</v>
      </c>
      <c r="C9" s="307"/>
      <c r="D9" s="307"/>
      <c r="E9" s="307"/>
      <c r="F9" s="307"/>
      <c r="G9" s="307"/>
      <c r="H9" s="307"/>
      <c r="I9" s="307"/>
      <c r="J9" s="307"/>
      <c r="K9" s="307"/>
      <c r="L9" s="307"/>
      <c r="M9" s="307"/>
      <c r="N9" s="307"/>
      <c r="O9" s="307"/>
      <c r="P9" s="307"/>
      <c r="Q9" s="307"/>
      <c r="R9" s="307"/>
      <c r="S9" s="307"/>
      <c r="T9" s="307"/>
      <c r="U9" s="307"/>
      <c r="V9" s="307"/>
      <c r="W9" s="307"/>
      <c r="X9" s="307"/>
      <c r="Y9" s="307"/>
      <c r="Z9" s="307"/>
      <c r="AA9" s="307"/>
      <c r="AB9" s="307"/>
      <c r="AC9" s="307"/>
      <c r="AD9" s="307"/>
      <c r="AE9" s="307"/>
    </row>
    <row r="10" spans="1:31" ht="20.25" customHeight="1">
      <c r="A10" s="83"/>
      <c r="B10" s="308"/>
      <c r="C10" s="309"/>
      <c r="D10" s="309"/>
      <c r="E10" s="309"/>
      <c r="F10" s="309"/>
      <c r="G10" s="310"/>
      <c r="H10" s="84"/>
      <c r="I10" s="311" t="s">
        <v>194</v>
      </c>
      <c r="J10" s="312"/>
      <c r="K10" s="312"/>
      <c r="L10" s="312"/>
      <c r="M10" s="312"/>
      <c r="N10" s="312"/>
      <c r="O10" s="312"/>
      <c r="P10" s="312"/>
      <c r="Q10" s="312"/>
      <c r="R10" s="312"/>
      <c r="S10" s="312"/>
      <c r="T10" s="312"/>
      <c r="U10" s="312"/>
      <c r="V10" s="312"/>
      <c r="W10" s="312"/>
      <c r="X10" s="312"/>
      <c r="Y10" s="312"/>
      <c r="Z10" s="312"/>
      <c r="AA10" s="312"/>
      <c r="AB10" s="313"/>
      <c r="AC10" s="311" t="s">
        <v>34</v>
      </c>
      <c r="AD10" s="313"/>
      <c r="AE10" s="180"/>
    </row>
    <row r="11" spans="1:31" ht="77.25" customHeight="1">
      <c r="A11" s="79" t="s">
        <v>154</v>
      </c>
      <c r="B11" s="15" t="s">
        <v>39</v>
      </c>
      <c r="C11" s="60" t="s">
        <v>41</v>
      </c>
      <c r="D11" s="40" t="s">
        <v>37</v>
      </c>
      <c r="E11" s="40" t="s">
        <v>36</v>
      </c>
      <c r="F11" s="40" t="s">
        <v>35</v>
      </c>
      <c r="G11" s="128" t="s">
        <v>149</v>
      </c>
      <c r="H11" s="61" t="s">
        <v>38</v>
      </c>
      <c r="I11" s="38" t="s">
        <v>17</v>
      </c>
      <c r="J11" s="38" t="s">
        <v>16</v>
      </c>
      <c r="K11" s="38" t="s">
        <v>19</v>
      </c>
      <c r="L11" s="38" t="s">
        <v>15</v>
      </c>
      <c r="M11" s="38" t="s">
        <v>30</v>
      </c>
      <c r="N11" s="38" t="s">
        <v>20</v>
      </c>
      <c r="O11" s="38" t="s">
        <v>26</v>
      </c>
      <c r="P11" s="38" t="s">
        <v>141</v>
      </c>
      <c r="Q11" s="38" t="s">
        <v>21</v>
      </c>
      <c r="R11" s="38" t="s">
        <v>29</v>
      </c>
      <c r="S11" s="38" t="s">
        <v>27</v>
      </c>
      <c r="T11" s="38" t="s">
        <v>25</v>
      </c>
      <c r="U11" s="38" t="s">
        <v>18</v>
      </c>
      <c r="V11" s="38" t="s">
        <v>140</v>
      </c>
      <c r="W11" s="38" t="s">
        <v>22</v>
      </c>
      <c r="X11" s="38" t="s">
        <v>23</v>
      </c>
      <c r="Y11" s="38" t="s">
        <v>24</v>
      </c>
      <c r="Z11" s="38" t="s">
        <v>184</v>
      </c>
      <c r="AA11" s="38" t="s">
        <v>192</v>
      </c>
      <c r="AB11" s="38" t="s">
        <v>193</v>
      </c>
      <c r="AC11" s="15" t="s">
        <v>9</v>
      </c>
      <c r="AD11" s="19" t="s">
        <v>32</v>
      </c>
      <c r="AE11" s="20" t="s">
        <v>150</v>
      </c>
    </row>
    <row r="12" spans="1:31" ht="18" customHeight="1">
      <c r="A12" s="173"/>
      <c r="B12" s="16">
        <f>_xlfn.IFERROR(VLOOKUP('К4-Ж-2п'!$A12,#REF!,2,0),0)</f>
        <v>0</v>
      </c>
      <c r="C12" s="71">
        <f>_xlfn.IFERROR(VLOOKUP('К4-Ж-2п'!$A12,#REF!,3,0),0)</f>
        <v>0</v>
      </c>
      <c r="D12" s="37">
        <v>0</v>
      </c>
      <c r="E12" s="37">
        <v>0</v>
      </c>
      <c r="F12" s="37"/>
      <c r="G12" s="73">
        <f>'К4-Ж-2п'!$E12-'К4-Ж-2п'!$D12</f>
        <v>0</v>
      </c>
      <c r="H12" s="16">
        <f>IF(TYPE(H11)=1,IF(H11=1,2,1),1)</f>
        <v>1</v>
      </c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16">
        <f>SUM('К4-Ж-2п'!$I12:$AB12)</f>
        <v>0</v>
      </c>
      <c r="AD12" s="7" t="e">
        <f>'К4-Ж-2п'!$AC12*ЦенаБалла</f>
        <v>#REF!</v>
      </c>
      <c r="AE12" s="6" t="e">
        <f>'К4-Ж-2п'!$G12+'К4-Ж-2п'!$AD12</f>
        <v>#REF!</v>
      </c>
    </row>
    <row r="13" spans="1:31" ht="15.75">
      <c r="A13" s="173"/>
      <c r="B13" s="16">
        <f>_xlfn.IFERROR(VLOOKUP('К4-Ж-2п'!$A13,#REF!,2,0),0)</f>
        <v>0</v>
      </c>
      <c r="C13" s="71">
        <f>_xlfn.IFERROR(VLOOKUP('К4-Ж-2п'!$A13,#REF!,3,0),0)</f>
        <v>0</v>
      </c>
      <c r="D13" s="37"/>
      <c r="E13" s="37"/>
      <c r="F13" s="37"/>
      <c r="G13" s="73">
        <f>'К4-Ж-2п'!$E13-'К4-Ж-2п'!$D13</f>
        <v>0</v>
      </c>
      <c r="H13" s="16">
        <f>IF(TYPE(H12)=1,IF(H12=1,2,1),1)</f>
        <v>2</v>
      </c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16">
        <f>SUM('К4-Ж-2п'!$I13:$AB13)</f>
        <v>0</v>
      </c>
      <c r="AD13" s="7" t="e">
        <f>'К4-Ж-2п'!$AC13*ЦенаБалла</f>
        <v>#REF!</v>
      </c>
      <c r="AE13" s="6" t="e">
        <f>'К4-Ж-2п'!$G13+'К4-Ж-2п'!$AD13</f>
        <v>#REF!</v>
      </c>
    </row>
    <row r="14" spans="1:31" ht="15.75">
      <c r="A14" s="173"/>
      <c r="B14" s="16">
        <f>_xlfn.IFERROR(VLOOKUP('К4-Ж-2п'!$A14,#REF!,2,0),0)</f>
        <v>0</v>
      </c>
      <c r="C14" s="71">
        <f>_xlfn.IFERROR(VLOOKUP('К4-Ж-2п'!$A14,#REF!,3,0),0)</f>
        <v>0</v>
      </c>
      <c r="D14" s="37"/>
      <c r="E14" s="37"/>
      <c r="F14" s="37"/>
      <c r="G14" s="73">
        <f>'К4-Ж-2п'!$E14-'К4-Ж-2п'!$D14</f>
        <v>0</v>
      </c>
      <c r="H14" s="16">
        <f>IF(TYPE(H13)=1,IF(H13=1,2,1),1)</f>
        <v>1</v>
      </c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16">
        <f>SUM('К4-Ж-2п'!$I14:$AB14)</f>
        <v>0</v>
      </c>
      <c r="AD14" s="7" t="e">
        <f>'К4-Ж-2п'!$AC14*ЦенаБалла</f>
        <v>#REF!</v>
      </c>
      <c r="AE14" s="6" t="e">
        <f>'К4-Ж-2п'!$G14+'К4-Ж-2п'!$AD14</f>
        <v>#REF!</v>
      </c>
    </row>
    <row r="15" spans="1:31" ht="15.75">
      <c r="A15" s="173"/>
      <c r="B15" s="16">
        <f>_xlfn.IFERROR(VLOOKUP('К4-Ж-2п'!$A15,#REF!,2,0),0)</f>
        <v>0</v>
      </c>
      <c r="C15" s="71">
        <f>_xlfn.IFERROR(VLOOKUP('К4-Ж-2п'!$A15,#REF!,3,0),0)</f>
        <v>0</v>
      </c>
      <c r="D15" s="37"/>
      <c r="E15" s="37"/>
      <c r="F15" s="37"/>
      <c r="G15" s="73">
        <f>'К4-Ж-2п'!$E15-'К4-Ж-2п'!$D15</f>
        <v>0</v>
      </c>
      <c r="H15" s="16">
        <f>IF(TYPE(H14)=1,IF(H14=1,2,1),1)</f>
        <v>2</v>
      </c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16">
        <f>SUM('К4-Ж-2п'!$I15:$AB15)</f>
        <v>0</v>
      </c>
      <c r="AD15" s="7" t="e">
        <f>'К4-Ж-2п'!$AC15*ЦенаБалла</f>
        <v>#REF!</v>
      </c>
      <c r="AE15" s="6" t="e">
        <f>'К4-Ж-2п'!$G15+'К4-Ж-2п'!$AD15</f>
        <v>#REF!</v>
      </c>
    </row>
    <row r="16" spans="1:31" ht="15.75">
      <c r="A16" s="173"/>
      <c r="B16" s="16">
        <f>_xlfn.IFERROR(VLOOKUP('К4-Ж-2п'!$A16,#REF!,2,0),0)</f>
        <v>0</v>
      </c>
      <c r="C16" s="71">
        <f>_xlfn.IFERROR(VLOOKUP('К4-Ж-2п'!$A16,#REF!,3,0),0)</f>
        <v>0</v>
      </c>
      <c r="D16" s="37"/>
      <c r="E16" s="37"/>
      <c r="F16" s="37"/>
      <c r="G16" s="73">
        <f>'К4-Ж-2п'!$E16-'К4-Ж-2п'!$D16</f>
        <v>0</v>
      </c>
      <c r="H16" s="16">
        <f>IF(TYPE(#REF!)=1,IF(#REF!=1,2,1),1)</f>
        <v>1</v>
      </c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16">
        <f>SUM('К4-Ж-2п'!$I16:$AB16)</f>
        <v>0</v>
      </c>
      <c r="AD16" s="7" t="e">
        <f>'К4-Ж-2п'!$AC16*ЦенаБалла</f>
        <v>#REF!</v>
      </c>
      <c r="AE16" s="6" t="e">
        <f>'К4-Ж-2п'!$G16+'К4-Ж-2п'!$AD16</f>
        <v>#REF!</v>
      </c>
    </row>
    <row r="17" spans="1:31" ht="15.75">
      <c r="A17" s="173"/>
      <c r="B17" s="16">
        <f>_xlfn.IFERROR(VLOOKUP('К4-Ж-2п'!$A17,#REF!,2,0),0)</f>
        <v>0</v>
      </c>
      <c r="C17" s="71">
        <f>_xlfn.IFERROR(VLOOKUP('К4-Ж-2п'!$A17,#REF!,3,0),0)</f>
        <v>0</v>
      </c>
      <c r="D17" s="37"/>
      <c r="E17" s="37"/>
      <c r="F17" s="37"/>
      <c r="G17" s="73">
        <f>'К4-Ж-2п'!$E17-'К4-Ж-2п'!$D17</f>
        <v>0</v>
      </c>
      <c r="H17" s="16">
        <f aca="true" t="shared" si="0" ref="H17:H26">IF(TYPE(H16)=1,IF(H16=1,2,1),1)</f>
        <v>2</v>
      </c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16">
        <f>SUM('К4-Ж-2п'!$I17:$AB17)</f>
        <v>0</v>
      </c>
      <c r="AD17" s="7" t="e">
        <f>'К4-Ж-2п'!$AC17*ЦенаБалла</f>
        <v>#REF!</v>
      </c>
      <c r="AE17" s="6" t="e">
        <f>'К4-Ж-2п'!$G17+'К4-Ж-2п'!$AD17</f>
        <v>#REF!</v>
      </c>
    </row>
    <row r="18" spans="1:31" ht="15.75">
      <c r="A18" s="173"/>
      <c r="B18" s="16">
        <f>_xlfn.IFERROR(VLOOKUP('К4-Ж-2п'!$A18,#REF!,2,0),0)</f>
        <v>0</v>
      </c>
      <c r="C18" s="71">
        <f>_xlfn.IFERROR(VLOOKUP('К4-Ж-2п'!$A18,#REF!,3,0),0)</f>
        <v>0</v>
      </c>
      <c r="D18" s="37"/>
      <c r="E18" s="37"/>
      <c r="F18" s="37"/>
      <c r="G18" s="73">
        <f>'К4-Ж-2п'!$E18-'К4-Ж-2п'!$D18</f>
        <v>0</v>
      </c>
      <c r="H18" s="16">
        <f t="shared" si="0"/>
        <v>1</v>
      </c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16">
        <f>SUM('К4-Ж-2п'!$I18:$AB18)</f>
        <v>0</v>
      </c>
      <c r="AD18" s="7" t="e">
        <f>'К4-Ж-2п'!$AC18*ЦенаБалла</f>
        <v>#REF!</v>
      </c>
      <c r="AE18" s="6" t="e">
        <f>'К4-Ж-2п'!$G18+'К4-Ж-2п'!$AD18</f>
        <v>#REF!</v>
      </c>
    </row>
    <row r="19" spans="1:31" ht="15.75">
      <c r="A19" s="173"/>
      <c r="B19" s="110">
        <f>_xlfn.IFERROR(VLOOKUP('К4-Ж-2п'!$A19,#REF!,2,0),0)</f>
        <v>0</v>
      </c>
      <c r="C19" s="109">
        <f>_xlfn.IFERROR(VLOOKUP('К4-Ж-2п'!$A19,#REF!,3,0),0)</f>
        <v>0</v>
      </c>
      <c r="D19" s="37"/>
      <c r="E19" s="37"/>
      <c r="F19" s="37"/>
      <c r="G19" s="73">
        <f>'К4-Ж-2п'!$E19-'К4-Ж-2п'!$D19</f>
        <v>0</v>
      </c>
      <c r="H19" s="110">
        <f t="shared" si="0"/>
        <v>2</v>
      </c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107"/>
      <c r="AC19" s="110">
        <f>SUM('К4-Ж-2п'!$I19:$AB19)</f>
        <v>0</v>
      </c>
      <c r="AD19" s="106" t="e">
        <f>'К4-Ж-2п'!$AC19*ЦенаБалла</f>
        <v>#REF!</v>
      </c>
      <c r="AE19" s="117" t="e">
        <f>'К4-Ж-2п'!$G19+'К4-Ж-2п'!$AD19</f>
        <v>#REF!</v>
      </c>
    </row>
    <row r="20" spans="1:31" s="14" customFormat="1" ht="15" customHeight="1">
      <c r="A20" s="173"/>
      <c r="B20" s="18">
        <f>_xlfn.IFERROR(VLOOKUP('К4-Ж-2п'!$A20,#REF!,2,0),0)</f>
        <v>0</v>
      </c>
      <c r="C20" s="72">
        <f>_xlfn.IFERROR(VLOOKUP('К4-Ж-2п'!$A20,#REF!,3,0),0)</f>
        <v>0</v>
      </c>
      <c r="D20" s="37"/>
      <c r="E20" s="37"/>
      <c r="F20" s="37"/>
      <c r="G20" s="73">
        <f>'К4-Ж-2п'!$E20-'К4-Ж-2п'!$D20</f>
        <v>0</v>
      </c>
      <c r="H20" s="18">
        <f t="shared" si="0"/>
        <v>1</v>
      </c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18">
        <f>SUM('К4-Ж-2п'!$I20:$AB20)</f>
        <v>0</v>
      </c>
      <c r="AD20" s="17" t="e">
        <f>'К4-Ж-2п'!$AC20*ЦенаБалла</f>
        <v>#REF!</v>
      </c>
      <c r="AE20" s="7" t="e">
        <f>'К4-Ж-2п'!$G20+'К4-Ж-2п'!$AD20</f>
        <v>#REF!</v>
      </c>
    </row>
    <row r="21" spans="1:31" s="14" customFormat="1" ht="15" customHeight="1">
      <c r="A21" s="173"/>
      <c r="B21" s="16">
        <f>_xlfn.IFERROR(VLOOKUP('К4-Ж-2п'!$A21,#REF!,2,0),0)</f>
        <v>0</v>
      </c>
      <c r="C21" s="71">
        <f>_xlfn.IFERROR(VLOOKUP('К4-Ж-2п'!$A21,#REF!,3,0),0)</f>
        <v>0</v>
      </c>
      <c r="D21" s="37"/>
      <c r="E21" s="37"/>
      <c r="F21" s="37"/>
      <c r="G21" s="73">
        <f>'К4-Ж-2п'!$E21-'К4-Ж-2п'!$D21</f>
        <v>0</v>
      </c>
      <c r="H21" s="16">
        <f t="shared" si="0"/>
        <v>2</v>
      </c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16">
        <f>SUM('К4-Ж-2п'!$I21:$AB21)</f>
        <v>0</v>
      </c>
      <c r="AD21" s="17" t="e">
        <f>'К4-Ж-2п'!$AC21*ЦенаБалла</f>
        <v>#REF!</v>
      </c>
      <c r="AE21" s="6" t="e">
        <f>'К4-Ж-2п'!$G21+'К4-Ж-2п'!$AD21</f>
        <v>#REF!</v>
      </c>
    </row>
    <row r="22" spans="1:31" s="14" customFormat="1" ht="15" customHeight="1">
      <c r="A22" s="173"/>
      <c r="B22" s="110">
        <f>_xlfn.IFERROR(VLOOKUP('К4-Ж-2п'!$A22,#REF!,2,0),0)</f>
        <v>0</v>
      </c>
      <c r="C22" s="109">
        <f>_xlfn.IFERROR(VLOOKUP('К4-Ж-2п'!$A22,#REF!,3,0),0)</f>
        <v>0</v>
      </c>
      <c r="D22" s="37"/>
      <c r="E22" s="37"/>
      <c r="F22" s="108"/>
      <c r="G22" s="73">
        <f>'К4-Ж-2п'!$E22-'К4-Ж-2п'!$D22</f>
        <v>0</v>
      </c>
      <c r="H22" s="110">
        <f t="shared" si="0"/>
        <v>1</v>
      </c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107"/>
      <c r="AC22" s="110">
        <f>SUM('К4-Ж-2п'!$I22:$AB22)</f>
        <v>0</v>
      </c>
      <c r="AD22" s="106" t="e">
        <f>'К4-Ж-2п'!$AC22*ЦенаБалла</f>
        <v>#REF!</v>
      </c>
      <c r="AE22" s="117" t="e">
        <f>'К4-Ж-2п'!$G22+'К4-Ж-2п'!$AD22</f>
        <v>#REF!</v>
      </c>
    </row>
    <row r="23" spans="1:31" s="14" customFormat="1" ht="15.75">
      <c r="A23" s="183"/>
      <c r="B23" s="184">
        <f>_xlfn.IFERROR(VLOOKUP('К4-Ж-2п'!$A23,#REF!,2,0),0)</f>
        <v>0</v>
      </c>
      <c r="C23" s="186">
        <f>_xlfn.IFERROR(VLOOKUP('К4-Ж-2п'!$A23,#REF!,3,0),0)</f>
        <v>0</v>
      </c>
      <c r="D23" s="188"/>
      <c r="E23" s="188"/>
      <c r="F23" s="188"/>
      <c r="G23" s="194">
        <f>'К4-Ж-2п'!$E23-'К4-Ж-2п'!$D23</f>
        <v>0</v>
      </c>
      <c r="H23" s="185">
        <f t="shared" si="0"/>
        <v>2</v>
      </c>
      <c r="I23" s="190"/>
      <c r="J23" s="190"/>
      <c r="K23" s="190"/>
      <c r="L23" s="190"/>
      <c r="M23" s="190"/>
      <c r="N23" s="190"/>
      <c r="O23" s="190"/>
      <c r="P23" s="190"/>
      <c r="Q23" s="190"/>
      <c r="R23" s="190"/>
      <c r="S23" s="190"/>
      <c r="T23" s="190"/>
      <c r="U23" s="190"/>
      <c r="V23" s="191"/>
      <c r="W23" s="191"/>
      <c r="X23" s="191"/>
      <c r="Y23" s="191"/>
      <c r="Z23" s="191"/>
      <c r="AA23" s="191"/>
      <c r="AB23" s="191"/>
      <c r="AC23" s="185">
        <f>SUM('К4-Ж-2п'!$I23:$AB23)</f>
        <v>0</v>
      </c>
      <c r="AD23" s="192" t="e">
        <f>'К4-Ж-2п'!$AC23*ЦенаБалла</f>
        <v>#REF!</v>
      </c>
      <c r="AE23" s="193" t="e">
        <f>'К4-Ж-2п'!$G23+'К4-Ж-2п'!$AD23</f>
        <v>#REF!</v>
      </c>
    </row>
    <row r="24" spans="1:31" ht="15.75">
      <c r="A24" s="183"/>
      <c r="B24" s="185">
        <f>_xlfn.IFERROR(VLOOKUP('К4-Ж-2п'!$A24,#REF!,2,0),0)</f>
        <v>0</v>
      </c>
      <c r="C24" s="187">
        <f>_xlfn.IFERROR(VLOOKUP('К4-Ж-2п'!$A24,#REF!,3,0),0)</f>
        <v>0</v>
      </c>
      <c r="D24" s="189"/>
      <c r="E24" s="189"/>
      <c r="F24" s="189"/>
      <c r="G24" s="73">
        <f>'К4-Ж-2п'!$E24-'К4-Ж-2п'!$D24</f>
        <v>0</v>
      </c>
      <c r="H24" s="185">
        <f t="shared" si="0"/>
        <v>1</v>
      </c>
      <c r="I24" s="191"/>
      <c r="J24" s="191"/>
      <c r="K24" s="191"/>
      <c r="L24" s="191"/>
      <c r="M24" s="191"/>
      <c r="N24" s="191"/>
      <c r="O24" s="191"/>
      <c r="P24" s="191"/>
      <c r="Q24" s="191"/>
      <c r="R24" s="191"/>
      <c r="S24" s="191"/>
      <c r="T24" s="191"/>
      <c r="U24" s="191"/>
      <c r="V24" s="191"/>
      <c r="W24" s="191"/>
      <c r="X24" s="191"/>
      <c r="Y24" s="191"/>
      <c r="Z24" s="191"/>
      <c r="AA24" s="191"/>
      <c r="AB24" s="191"/>
      <c r="AC24" s="185">
        <f>SUM('К4-Ж-2п'!$I24:$AB24)</f>
        <v>0</v>
      </c>
      <c r="AD24" s="192" t="e">
        <f>'К4-Ж-2п'!$AC24*ЦенаБалла</f>
        <v>#REF!</v>
      </c>
      <c r="AE24" s="193" t="e">
        <f>'К4-Ж-2п'!$G24+'К4-Ж-2п'!$AD24</f>
        <v>#REF!</v>
      </c>
    </row>
    <row r="25" spans="1:31" ht="15.75">
      <c r="A25" s="183"/>
      <c r="B25" s="185">
        <f>_xlfn.IFERROR(VLOOKUP('К4-Ж-2п'!$A25,#REF!,2,0),0)</f>
        <v>0</v>
      </c>
      <c r="C25" s="187">
        <f>_xlfn.IFERROR(VLOOKUP('К4-Ж-2п'!$A25,#REF!,3,0),0)</f>
        <v>0</v>
      </c>
      <c r="D25" s="189"/>
      <c r="E25" s="189"/>
      <c r="F25" s="189"/>
      <c r="G25" s="73">
        <f>'К4-Ж-2п'!$E25-'К4-Ж-2п'!$D25</f>
        <v>0</v>
      </c>
      <c r="H25" s="185">
        <f t="shared" si="0"/>
        <v>2</v>
      </c>
      <c r="I25" s="191"/>
      <c r="J25" s="191"/>
      <c r="K25" s="191"/>
      <c r="L25" s="191"/>
      <c r="M25" s="191"/>
      <c r="N25" s="191"/>
      <c r="O25" s="191"/>
      <c r="P25" s="191"/>
      <c r="Q25" s="191"/>
      <c r="R25" s="191"/>
      <c r="S25" s="191"/>
      <c r="T25" s="191"/>
      <c r="U25" s="191"/>
      <c r="V25" s="191"/>
      <c r="W25" s="191"/>
      <c r="X25" s="191"/>
      <c r="Y25" s="191"/>
      <c r="Z25" s="191"/>
      <c r="AA25" s="191"/>
      <c r="AB25" s="191"/>
      <c r="AC25" s="185">
        <f>SUM('К4-Ж-2п'!$I25:$AB25)</f>
        <v>0</v>
      </c>
      <c r="AD25" s="192" t="e">
        <f>'К4-Ж-2п'!$AC25*ЦенаБалла</f>
        <v>#REF!</v>
      </c>
      <c r="AE25" s="193" t="e">
        <f>'К4-Ж-2п'!$G25+'К4-Ж-2п'!$AD25</f>
        <v>#REF!</v>
      </c>
    </row>
    <row r="26" spans="1:31" ht="15.75">
      <c r="A26" s="183"/>
      <c r="B26" s="185">
        <f>_xlfn.IFERROR(VLOOKUP('К4-Ж-2п'!$A26,#REF!,2,0),0)</f>
        <v>0</v>
      </c>
      <c r="C26" s="187">
        <f>_xlfn.IFERROR(VLOOKUP('К4-Ж-2п'!$A26,#REF!,3,0),0)</f>
        <v>0</v>
      </c>
      <c r="D26" s="189"/>
      <c r="E26" s="189"/>
      <c r="F26" s="189"/>
      <c r="G26" s="73">
        <f>'К4-Ж-2п'!$E26-'К4-Ж-2п'!$D26</f>
        <v>0</v>
      </c>
      <c r="H26" s="185">
        <f t="shared" si="0"/>
        <v>1</v>
      </c>
      <c r="I26" s="191"/>
      <c r="J26" s="191"/>
      <c r="K26" s="191"/>
      <c r="L26" s="191"/>
      <c r="M26" s="191"/>
      <c r="N26" s="191"/>
      <c r="O26" s="191"/>
      <c r="P26" s="191"/>
      <c r="Q26" s="191"/>
      <c r="R26" s="191"/>
      <c r="S26" s="191"/>
      <c r="T26" s="191"/>
      <c r="U26" s="191"/>
      <c r="V26" s="191"/>
      <c r="W26" s="191"/>
      <c r="X26" s="191"/>
      <c r="Y26" s="191"/>
      <c r="Z26" s="191"/>
      <c r="AA26" s="191"/>
      <c r="AB26" s="191"/>
      <c r="AC26" s="185">
        <f>SUM('К4-Ж-2п'!$I26:$AB26)</f>
        <v>0</v>
      </c>
      <c r="AD26" s="192" t="e">
        <f>'К4-Ж-2п'!$AC26*ЦенаБалла</f>
        <v>#REF!</v>
      </c>
      <c r="AE26" s="193" t="e">
        <f>'К4-Ж-2п'!$G26+'К4-Ж-2п'!$AD26</f>
        <v>#REF!</v>
      </c>
    </row>
    <row r="27" spans="2:32" ht="15.75">
      <c r="B27" s="82" t="s">
        <v>7</v>
      </c>
      <c r="C27" s="82"/>
      <c r="D27" s="304"/>
      <c r="E27" s="304"/>
      <c r="G27" s="123"/>
      <c r="H27" s="10"/>
      <c r="I27" s="14"/>
      <c r="J27" s="54" t="e">
        <f>фиосудья</f>
        <v>#REF!</v>
      </c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</row>
    <row r="28" spans="2:32" ht="15.75">
      <c r="B28" s="82" t="s">
        <v>6</v>
      </c>
      <c r="C28" s="82"/>
      <c r="D28" s="179"/>
      <c r="E28" s="179"/>
      <c r="F28" s="11"/>
      <c r="G28" s="124"/>
      <c r="H28" s="11"/>
      <c r="I28" s="14"/>
      <c r="J28" s="12" t="e">
        <f>фиосекретарь</f>
        <v>#REF!</v>
      </c>
      <c r="K28" s="12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</row>
    <row r="29" spans="2:11" ht="15">
      <c r="B29" s="303" t="e">
        <f>дата_протокол</f>
        <v>#REF!</v>
      </c>
      <c r="C29" s="303"/>
      <c r="D29" s="304"/>
      <c r="E29" s="304"/>
      <c r="I29" s="14"/>
      <c r="J29" s="14"/>
      <c r="K29" s="14"/>
    </row>
  </sheetData>
  <sheetProtection/>
  <mergeCells count="19">
    <mergeCell ref="B29:C29"/>
    <mergeCell ref="D29:E29"/>
    <mergeCell ref="B5:C5"/>
    <mergeCell ref="D5:AE5"/>
    <mergeCell ref="B6:C6"/>
    <mergeCell ref="D6:AE6"/>
    <mergeCell ref="B7:C7"/>
    <mergeCell ref="D7:AE7"/>
    <mergeCell ref="B9:AE9"/>
    <mergeCell ref="B10:G10"/>
    <mergeCell ref="I10:AB10"/>
    <mergeCell ref="AC10:AD10"/>
    <mergeCell ref="D27:E27"/>
    <mergeCell ref="B1:C2"/>
    <mergeCell ref="D1:AE2"/>
    <mergeCell ref="B3:C3"/>
    <mergeCell ref="D3:AE3"/>
    <mergeCell ref="B4:C4"/>
    <mergeCell ref="D4:AE4"/>
  </mergeCells>
  <dataValidations count="3">
    <dataValidation type="time" operator="greaterThanOrEqual" allowBlank="1" showInputMessage="1" showErrorMessage="1" sqref="E22:E26 G12:G26 D22:D23 D12:E21">
      <formula1>0</formula1>
    </dataValidation>
    <dataValidation type="list" allowBlank="1" showInputMessage="1" showErrorMessage="1" sqref="D4">
      <formula1>дисциплины</formula1>
    </dataValidation>
    <dataValidation type="whole" operator="greaterThan" allowBlank="1" showErrorMessage="1" errorTitle="Внимание!" error="Данные в этой ячейке должны быть целым числом без любых дополнительных знаков." sqref="B12:B26">
      <formula1>0</formula1>
    </dataValidation>
  </dataValidations>
  <printOptions/>
  <pageMargins left="0.5905511811023623" right="0.5905511811023623" top="0.5905511811023623" bottom="0.5905511811023623" header="0" footer="0"/>
  <pageSetup fitToHeight="1" fitToWidth="1" horizontalDpi="300" verticalDpi="300" orientation="landscape" paperSize="9" scale="67" r:id="rId5"/>
  <drawing r:id="rId4"/>
  <legacyDrawing r:id="rId2"/>
  <tableParts>
    <tablePart r:id="rId3"/>
  </tablePart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S45"/>
  <sheetViews>
    <sheetView zoomScalePageLayoutView="0" workbookViewId="0" topLeftCell="A1">
      <selection activeCell="O12" sqref="O12"/>
    </sheetView>
  </sheetViews>
  <sheetFormatPr defaultColWidth="9.140625" defaultRowHeight="15" outlineLevelRow="1" outlineLevelCol="1"/>
  <cols>
    <col min="1" max="1" width="11.7109375" style="111" customWidth="1" outlineLevel="1"/>
    <col min="2" max="2" width="7.8515625" style="111" customWidth="1"/>
    <col min="3" max="3" width="38.57421875" style="111" customWidth="1"/>
    <col min="4" max="5" width="11.7109375" style="111" customWidth="1"/>
    <col min="6" max="6" width="10.00390625" style="111" customWidth="1"/>
    <col min="7" max="7" width="12.00390625" style="4" customWidth="1"/>
    <col min="8" max="8" width="12.421875" style="111" hidden="1" customWidth="1" outlineLevel="1"/>
    <col min="9" max="9" width="12.7109375" style="111" hidden="1" customWidth="1" outlineLevel="1" collapsed="1"/>
    <col min="10" max="10" width="12.7109375" style="111" hidden="1" customWidth="1" outlineLevel="1"/>
    <col min="11" max="11" width="12.7109375" style="111" hidden="1" customWidth="1" outlineLevel="1" collapsed="1"/>
    <col min="12" max="12" width="28.00390625" style="111" customWidth="1" collapsed="1"/>
    <col min="13" max="13" width="9.140625" style="111" hidden="1" customWidth="1" outlineLevel="1" collapsed="1"/>
    <col min="14" max="14" width="9.140625" style="111" customWidth="1" collapsed="1"/>
    <col min="15" max="15" width="30.00390625" style="111" bestFit="1" customWidth="1"/>
    <col min="16" max="18" width="9.140625" style="111" customWidth="1"/>
    <col min="19" max="19" width="17.140625" style="111" customWidth="1"/>
    <col min="20" max="16384" width="9.140625" style="111" customWidth="1"/>
  </cols>
  <sheetData>
    <row r="1" spans="1:15" ht="33.75" customHeight="1">
      <c r="A1" s="87"/>
      <c r="B1" s="314"/>
      <c r="C1" s="315"/>
      <c r="D1" s="289" t="s">
        <v>157</v>
      </c>
      <c r="E1" s="290"/>
      <c r="F1" s="290"/>
      <c r="G1" s="290"/>
      <c r="H1" s="290"/>
      <c r="I1" s="290"/>
      <c r="J1" s="290"/>
      <c r="K1" s="290"/>
      <c r="L1" s="291"/>
      <c r="N1" s="97"/>
      <c r="O1" s="196" t="s">
        <v>57</v>
      </c>
    </row>
    <row r="2" spans="1:15" ht="57.75" customHeight="1" thickBot="1">
      <c r="A2" s="88"/>
      <c r="B2" s="316"/>
      <c r="C2" s="317"/>
      <c r="D2" s="292"/>
      <c r="E2" s="293"/>
      <c r="F2" s="293"/>
      <c r="G2" s="293"/>
      <c r="H2" s="293"/>
      <c r="I2" s="293"/>
      <c r="J2" s="293"/>
      <c r="K2" s="293"/>
      <c r="L2" s="294"/>
      <c r="N2" s="97"/>
      <c r="O2" s="45" t="s">
        <v>54</v>
      </c>
    </row>
    <row r="3" spans="2:16" ht="40.5" customHeight="1" thickBot="1">
      <c r="B3" s="295" t="s">
        <v>1</v>
      </c>
      <c r="C3" s="296"/>
      <c r="D3" s="318" t="e">
        <f>РангСоревнований</f>
        <v>#REF!</v>
      </c>
      <c r="E3" s="319"/>
      <c r="F3" s="319"/>
      <c r="G3" s="319"/>
      <c r="H3" s="319"/>
      <c r="I3" s="319"/>
      <c r="J3" s="319"/>
      <c r="K3" s="319"/>
      <c r="L3" s="320"/>
      <c r="N3" s="97"/>
      <c r="O3" s="14"/>
      <c r="P3" s="14"/>
    </row>
    <row r="4" spans="2:18" ht="15.75" customHeight="1">
      <c r="B4" s="298" t="s">
        <v>2</v>
      </c>
      <c r="C4" s="299"/>
      <c r="D4" s="300" t="s">
        <v>48</v>
      </c>
      <c r="E4" s="301"/>
      <c r="F4" s="301"/>
      <c r="G4" s="301"/>
      <c r="H4" s="301"/>
      <c r="I4" s="301"/>
      <c r="J4" s="301"/>
      <c r="K4" s="301"/>
      <c r="L4" s="302"/>
      <c r="N4" s="97"/>
      <c r="O4" s="195" t="s">
        <v>63</v>
      </c>
      <c r="P4" s="14"/>
      <c r="Q4" s="14"/>
      <c r="R4" s="14"/>
    </row>
    <row r="5" spans="2:18" ht="16.5" thickBot="1">
      <c r="B5" s="298" t="s">
        <v>3</v>
      </c>
      <c r="C5" s="299"/>
      <c r="D5" s="322" t="s">
        <v>169</v>
      </c>
      <c r="E5" s="323"/>
      <c r="F5" s="323"/>
      <c r="G5" s="323"/>
      <c r="H5" s="323"/>
      <c r="I5" s="323"/>
      <c r="J5" s="323"/>
      <c r="K5" s="323"/>
      <c r="L5" s="324"/>
      <c r="N5" s="97"/>
      <c r="O5" s="45" t="s">
        <v>61</v>
      </c>
      <c r="P5" s="14"/>
      <c r="Q5" s="14"/>
      <c r="R5" s="14"/>
    </row>
    <row r="6" spans="2:19" ht="15.75" customHeight="1">
      <c r="B6" s="298" t="s">
        <v>4</v>
      </c>
      <c r="C6" s="299"/>
      <c r="D6" s="318" t="e">
        <f>S7</f>
        <v>#REF!</v>
      </c>
      <c r="E6" s="319"/>
      <c r="F6" s="319"/>
      <c r="G6" s="319"/>
      <c r="H6" s="319"/>
      <c r="I6" s="319"/>
      <c r="J6" s="319"/>
      <c r="K6" s="319"/>
      <c r="L6" s="320"/>
      <c r="N6" s="97"/>
      <c r="O6" s="36" t="s">
        <v>65</v>
      </c>
      <c r="P6" s="33" t="s">
        <v>89</v>
      </c>
      <c r="Q6" s="32" t="s">
        <v>90</v>
      </c>
      <c r="R6" s="64" t="s">
        <v>91</v>
      </c>
      <c r="S6" s="67" t="s">
        <v>148</v>
      </c>
    </row>
    <row r="7" spans="2:19" ht="16.5" customHeight="1" thickBot="1">
      <c r="B7" s="298" t="s">
        <v>5</v>
      </c>
      <c r="C7" s="299"/>
      <c r="D7" s="318" t="e">
        <f>ранг</f>
        <v>#REF!</v>
      </c>
      <c r="E7" s="319"/>
      <c r="F7" s="319"/>
      <c r="G7" s="319"/>
      <c r="H7" s="319"/>
      <c r="I7" s="319"/>
      <c r="J7" s="319"/>
      <c r="K7" s="319"/>
      <c r="L7" s="320"/>
      <c r="N7" s="97"/>
      <c r="O7" s="35" t="e">
        <f>ROUND(SUMIF('К4-Ж-итог'!$J$12:$J$16,TRUE,'К4-Ж-итог'!$K$12:$K$16)*VLOOKUP(с_вид_участия,т_вид_участия,3,0),0)</f>
        <v>#REF!</v>
      </c>
      <c r="P7" s="34" t="e">
        <f>VLOOKUP(O7,т_время_победителя,2,1)</f>
        <v>#REF!</v>
      </c>
      <c r="Q7" s="30" t="e">
        <f>VLOOKUP(O7,т_время_победителя,3,1)</f>
        <v>#REF!</v>
      </c>
      <c r="R7" s="31" t="e">
        <f>VLOOKUP(O7,т_время_победителя,4,1)</f>
        <v>#REF!</v>
      </c>
      <c r="S7" s="74" t="e">
        <f>VLOOKUP(ранг,т_класс_дистанции,2,1)</f>
        <v>#REF!</v>
      </c>
    </row>
    <row r="8" spans="1:19" ht="15.75" hidden="1">
      <c r="A8" s="13"/>
      <c r="B8" s="13"/>
      <c r="C8" s="13"/>
      <c r="D8" s="13"/>
      <c r="E8" s="13"/>
      <c r="F8" s="13"/>
      <c r="G8" s="13"/>
      <c r="H8" s="13"/>
      <c r="I8" s="13"/>
      <c r="J8" s="23"/>
      <c r="K8" s="23"/>
      <c r="L8" s="1"/>
      <c r="O8" s="85"/>
      <c r="P8" s="179"/>
      <c r="Q8" s="179"/>
      <c r="R8" s="179"/>
      <c r="S8" s="86"/>
    </row>
    <row r="9" spans="1:12" ht="15">
      <c r="A9" s="1"/>
      <c r="B9" s="1"/>
      <c r="C9" s="1"/>
      <c r="D9" s="1"/>
      <c r="E9" s="1"/>
      <c r="F9" s="1"/>
      <c r="G9" s="2"/>
      <c r="H9" s="1"/>
      <c r="I9" s="1"/>
      <c r="J9" s="1"/>
      <c r="K9" s="1"/>
      <c r="L9" s="1"/>
    </row>
    <row r="10" spans="1:12" ht="15.75">
      <c r="A10" s="307" t="s">
        <v>42</v>
      </c>
      <c r="B10" s="307"/>
      <c r="C10" s="307"/>
      <c r="D10" s="307"/>
      <c r="E10" s="307"/>
      <c r="F10" s="307"/>
      <c r="G10" s="307"/>
      <c r="H10" s="307"/>
      <c r="I10" s="307"/>
      <c r="J10" s="307"/>
      <c r="K10" s="307"/>
      <c r="L10" s="307"/>
    </row>
    <row r="11" spans="1:13" ht="45">
      <c r="A11" s="79" t="s">
        <v>33</v>
      </c>
      <c r="B11" s="167" t="s">
        <v>39</v>
      </c>
      <c r="C11" s="153" t="s">
        <v>41</v>
      </c>
      <c r="D11" s="155" t="s">
        <v>143</v>
      </c>
      <c r="E11" s="155" t="s">
        <v>144</v>
      </c>
      <c r="F11" s="158" t="s">
        <v>40</v>
      </c>
      <c r="G11" s="159" t="s">
        <v>0</v>
      </c>
      <c r="H11" s="69" t="s">
        <v>46</v>
      </c>
      <c r="I11" s="15" t="s">
        <v>45</v>
      </c>
      <c r="J11" s="15" t="s">
        <v>64</v>
      </c>
      <c r="K11" s="15" t="s">
        <v>59</v>
      </c>
      <c r="L11" s="70" t="s">
        <v>8</v>
      </c>
      <c r="M11" s="99" t="s">
        <v>161</v>
      </c>
    </row>
    <row r="12" spans="1:13" ht="18" customHeight="1">
      <c r="A12" s="173"/>
      <c r="B12" s="16">
        <f>_xlfn.IFERROR(VLOOKUP(#REF!,#REF!,2,0),0)</f>
        <v>0</v>
      </c>
      <c r="C12" s="161">
        <f>_xlfn.IFERROR(VLOOKUP('К4-Ж-итог'!$A12,#REF!,3,0),0)</f>
        <v>0</v>
      </c>
      <c r="D12" s="62" t="e">
        <f>VLOOKUP('К4-Ж-итог'!$A12,'К4-Ж-1п'!$A$12:$AE$26,COLUMN('К4-Ж-1п'!$AE$12:$AE$26),0)</f>
        <v>#N/A</v>
      </c>
      <c r="E12" s="62" t="e">
        <f>VLOOKUP('К4-Ж-итог'!$A12,'К4-Ж-2п'!$A$12:$AE$26,COLUMN('К4-Ж-2п'!$AE$12:$AE$26),0)</f>
        <v>#N/A</v>
      </c>
      <c r="F12" s="162" t="e">
        <f>'К4-Ж-итог'!$D12+'К4-Ж-итог'!$E12</f>
        <v>#N/A</v>
      </c>
      <c r="G12" s="163" t="e">
        <f>IF((COUNTIF('К4-Ж-итог'!$M$12:$M$16,'К4-Ж-итог'!$M12)-1)=0,RANK('К4-Ж-итог'!$M12,'К4-Ж-итог'!$M$12:$M$16,1),RANK('К4-Ж-итог'!$M12,'К4-Ж-итог'!$M$12:$M$16,1)&amp;"-"&amp;RANK('К4-Ж-итог'!$M12,'К4-Ж-итог'!$M$12:$M$16,1)+COUNTIF('К4-Ж-итог'!$M$12:$M$16,'К4-Ж-итог'!$M12)-1)</f>
        <v>#N/A</v>
      </c>
      <c r="H12" s="135" t="e">
        <f>HLOOKUP(ВидДистанции,ТаблицаБаллов,MATCH('К4-Ж-итог'!$G12,ЗанятоеМесто,0),0)</f>
        <v>#REF!</v>
      </c>
      <c r="I12" s="136" t="e">
        <f>100*'К4-Ж-итог'!$F12/MIN('К4-Ж-итог'!$F$12:$F$16)</f>
        <v>#N/A</v>
      </c>
      <c r="J12" s="21" t="e">
        <f>'К4-Ж-итог'!$G12&lt;=VLOOKUP($O$5,т_вид_участия,2,0)</f>
        <v>#N/A</v>
      </c>
      <c r="K12" s="53" t="e">
        <f>IF('К4-Ж-итог'!$J12=FALSE,0,VLOOKUP('К4-Ж-итог'!$A12,#REF!,COLUMN(#REF!),0))</f>
        <v>#N/A</v>
      </c>
      <c r="L12" s="137" t="e">
        <f>IF('К4-Ж-итог'!$I12&lt;=$P$7,"1 разряд",IF('К4-Ж-итог'!$I12&lt;=$Q$7,"2 разряд",IF('К4-Ж-итог'!$I12&lt;=$R$7,"3 разряд","")))</f>
        <v>#N/A</v>
      </c>
      <c r="M12" s="100" t="e">
        <f>'К4-Ж-итог'!$D12+'К4-Ж-итог'!$E12+'К4-Ж-итог'!$F12</f>
        <v>#N/A</v>
      </c>
    </row>
    <row r="13" spans="1:13" ht="15.75">
      <c r="A13" s="173"/>
      <c r="B13" s="16">
        <f>_xlfn.IFERROR(VLOOKUP(#REF!,#REF!,2,0),0)</f>
        <v>0</v>
      </c>
      <c r="C13" s="161">
        <f>_xlfn.IFERROR(VLOOKUP('К4-Ж-итог'!$A13,#REF!,3,0),0)</f>
        <v>0</v>
      </c>
      <c r="D13" s="62" t="e">
        <f>VLOOKUP('К4-Ж-итог'!$A13,'К4-Ж-1п'!$A$12:$AE$26,COLUMN('К4-Ж-1п'!$AE$12:$AE$26),0)</f>
        <v>#N/A</v>
      </c>
      <c r="E13" s="62" t="e">
        <f>VLOOKUP('К4-Ж-итог'!$A13,'К4-Ж-2п'!$A$12:$AE$26,COLUMN('К4-Ж-2п'!$AE$12:$AE$26),0)</f>
        <v>#N/A</v>
      </c>
      <c r="F13" s="162" t="e">
        <f>'К4-Ж-итог'!$D13+'К4-Ж-итог'!$E13</f>
        <v>#N/A</v>
      </c>
      <c r="G13" s="163" t="e">
        <f>IF((COUNTIF('К4-Ж-итог'!$M$12:$M$16,'К4-Ж-итог'!$M13)-1)=0,RANK('К4-Ж-итог'!$M13,'К4-Ж-итог'!$M$12:$M$16,1),RANK('К4-Ж-итог'!$M13,'К4-Ж-итог'!$M$12:$M$16,1)&amp;"-"&amp;RANK('К4-Ж-итог'!$M13,'К4-Ж-итог'!$M$12:$M$16,1)+COUNTIF('К4-Ж-итог'!$M$12:$M$16,'К4-Ж-итог'!$M13)-1)</f>
        <v>#N/A</v>
      </c>
      <c r="H13" s="135" t="e">
        <f>HLOOKUP(ВидДистанции,ТаблицаБаллов,MATCH('К4-Ж-итог'!$G13,ЗанятоеМесто,0),0)</f>
        <v>#REF!</v>
      </c>
      <c r="I13" s="136" t="e">
        <f>100*'К4-Ж-итог'!$F13/MIN('К4-Ж-итог'!$F$12:$F$16)</f>
        <v>#N/A</v>
      </c>
      <c r="J13" s="21" t="e">
        <f>'К4-Ж-итог'!$G13&lt;=VLOOKUP($O$5,т_вид_участия,2,0)</f>
        <v>#N/A</v>
      </c>
      <c r="K13" s="53" t="e">
        <f>IF('К4-Ж-итог'!$J13=FALSE,0,VLOOKUP('К4-Ж-итог'!$A13,#REF!,COLUMN(#REF!),0))</f>
        <v>#N/A</v>
      </c>
      <c r="L13" s="137" t="e">
        <f>IF('К4-Ж-итог'!$I13&lt;=$P$7,"1 разряд",IF('К4-Ж-итог'!$I13&lt;=$Q$7,"2 разряд",IF('К4-Ж-итог'!$I13&lt;=$R$7,"3 разряд","")))</f>
        <v>#N/A</v>
      </c>
      <c r="M13" s="100" t="e">
        <f>'К4-Ж-итог'!$D13+'К4-Ж-итог'!$E13+'К4-Ж-итог'!$F13</f>
        <v>#N/A</v>
      </c>
    </row>
    <row r="14" spans="1:13" ht="15.75">
      <c r="A14" s="173"/>
      <c r="B14" s="16">
        <f>_xlfn.IFERROR(VLOOKUP(#REF!,#REF!,2,0),0)</f>
        <v>0</v>
      </c>
      <c r="C14" s="161">
        <f>_xlfn.IFERROR(VLOOKUP('К4-Ж-итог'!$A14,#REF!,3,0),0)</f>
        <v>0</v>
      </c>
      <c r="D14" s="62" t="e">
        <f>VLOOKUP('К4-Ж-итог'!$A14,'К4-Ж-1п'!$A$12:$AE$26,COLUMN('К4-Ж-1п'!$AE$12:$AE$26),0)</f>
        <v>#N/A</v>
      </c>
      <c r="E14" s="62" t="e">
        <f>VLOOKUP('К4-Ж-итог'!$A14,'К4-Ж-2п'!$A$12:$AE$26,COLUMN('К4-Ж-2п'!$AE$12:$AE$26),0)</f>
        <v>#N/A</v>
      </c>
      <c r="F14" s="162" t="e">
        <f>'К4-Ж-итог'!$D14+'К4-Ж-итог'!$E14</f>
        <v>#N/A</v>
      </c>
      <c r="G14" s="163" t="e">
        <f>IF((COUNTIF('К4-Ж-итог'!$M$12:$M$16,'К4-Ж-итог'!$M14)-1)=0,RANK('К4-Ж-итог'!$M14,'К4-Ж-итог'!$M$12:$M$16,1),RANK('К4-Ж-итог'!$M14,'К4-Ж-итог'!$M$12:$M$16,1)&amp;"-"&amp;RANK('К4-Ж-итог'!$M14,'К4-Ж-итог'!$M$12:$M$16,1)+COUNTIF('К4-Ж-итог'!$M$12:$M$16,'К4-Ж-итог'!$M14)-1)</f>
        <v>#N/A</v>
      </c>
      <c r="H14" s="135" t="e">
        <f>HLOOKUP(ВидДистанции,ТаблицаБаллов,MATCH('К4-Ж-итог'!$G14,ЗанятоеМесто,0),0)</f>
        <v>#REF!</v>
      </c>
      <c r="I14" s="136" t="e">
        <f>100*'К4-Ж-итог'!$F14/MIN('К4-Ж-итог'!$F$12:$F$16)</f>
        <v>#N/A</v>
      </c>
      <c r="J14" s="21" t="e">
        <f>'К4-Ж-итог'!$G14&lt;=VLOOKUP($O$5,т_вид_участия,2,0)</f>
        <v>#N/A</v>
      </c>
      <c r="K14" s="53" t="e">
        <f>IF('К4-Ж-итог'!$J14=FALSE,0,VLOOKUP('К4-Ж-итог'!$A14,#REF!,COLUMN(#REF!),0))</f>
        <v>#N/A</v>
      </c>
      <c r="L14" s="137" t="e">
        <f>IF('К4-Ж-итог'!$I14&lt;=$P$7,"1 разряд",IF('К4-Ж-итог'!$I14&lt;=$Q$7,"2 разряд",IF('К4-Ж-итог'!$I14&lt;=$R$7,"3 разряд","")))</f>
        <v>#N/A</v>
      </c>
      <c r="M14" s="100" t="e">
        <f>'К4-Ж-итог'!$D14+'К4-Ж-итог'!$E14+'К4-Ж-итог'!$F14</f>
        <v>#N/A</v>
      </c>
    </row>
    <row r="15" spans="1:13" ht="15.75">
      <c r="A15" s="173"/>
      <c r="B15" s="16">
        <f>_xlfn.IFERROR(VLOOKUP(#REF!,#REF!,2,0),0)</f>
        <v>0</v>
      </c>
      <c r="C15" s="161">
        <f>_xlfn.IFERROR(VLOOKUP('К4-Ж-итог'!$A15,#REF!,3,0),0)</f>
        <v>0</v>
      </c>
      <c r="D15" s="62" t="e">
        <f>VLOOKUP('К4-Ж-итог'!$A15,'К4-Ж-1п'!$A$12:$AE$26,COLUMN('К4-Ж-1п'!$AE$12:$AE$26),0)</f>
        <v>#N/A</v>
      </c>
      <c r="E15" s="62" t="e">
        <f>VLOOKUP('К4-Ж-итог'!$A15,'К4-Ж-2п'!$A$12:$AE$26,COLUMN('К4-Ж-2п'!$AE$12:$AE$26),0)</f>
        <v>#N/A</v>
      </c>
      <c r="F15" s="162" t="e">
        <f>'К4-Ж-итог'!$D15+'К4-Ж-итог'!$E15</f>
        <v>#N/A</v>
      </c>
      <c r="G15" s="163" t="e">
        <f>IF((COUNTIF('К4-Ж-итог'!$M$12:$M$16,'К4-Ж-итог'!$M15)-1)=0,RANK('К4-Ж-итог'!$M15,'К4-Ж-итог'!$M$12:$M$16,1),RANK('К4-Ж-итог'!$M15,'К4-Ж-итог'!$M$12:$M$16,1)&amp;"-"&amp;RANK('К4-Ж-итог'!$M15,'К4-Ж-итог'!$M$12:$M$16,1)+COUNTIF('К4-Ж-итог'!$M$12:$M$16,'К4-Ж-итог'!$M15)-1)</f>
        <v>#N/A</v>
      </c>
      <c r="H15" s="135" t="e">
        <f>HLOOKUP(ВидДистанции,ТаблицаБаллов,MATCH('К4-Ж-итог'!$G15,ЗанятоеМесто,0),0)</f>
        <v>#REF!</v>
      </c>
      <c r="I15" s="136" t="e">
        <f>100*'К4-Ж-итог'!$F15/MIN('К4-Ж-итог'!$F$12:$F$16)</f>
        <v>#N/A</v>
      </c>
      <c r="J15" s="21" t="e">
        <f>'К4-Ж-итог'!$G15&lt;=VLOOKUP($O$5,т_вид_участия,2,0)</f>
        <v>#N/A</v>
      </c>
      <c r="K15" s="53" t="e">
        <f>IF('К4-Ж-итог'!$J15=FALSE,0,VLOOKUP('К4-Ж-итог'!$A15,#REF!,COLUMN(#REF!),0))</f>
        <v>#N/A</v>
      </c>
      <c r="L15" s="137" t="e">
        <f>IF('К4-Ж-итог'!$I15&lt;=$P$7,"1 разряд",IF('К4-Ж-итог'!$I15&lt;=$Q$7,"2 разряд",IF('К4-Ж-итог'!$I15&lt;=$R$7,"3 разряд","")))</f>
        <v>#N/A</v>
      </c>
      <c r="M15" s="100" t="e">
        <f>'К4-Ж-итог'!$D15+'К4-Ж-итог'!$E15+'К4-Ж-итог'!$F15</f>
        <v>#N/A</v>
      </c>
    </row>
    <row r="16" spans="1:13" ht="15.75">
      <c r="A16" s="173"/>
      <c r="B16" s="16">
        <f>_xlfn.IFERROR(VLOOKUP(#REF!,#REF!,2,0),0)</f>
        <v>0</v>
      </c>
      <c r="C16" s="161">
        <f>_xlfn.IFERROR(VLOOKUP('К4-Ж-итог'!$A16,#REF!,3,0),0)</f>
        <v>0</v>
      </c>
      <c r="D16" s="62" t="e">
        <f>VLOOKUP('К4-Ж-итог'!$A16,'К4-Ж-1п'!$A$12:$AE$26,COLUMN('К4-Ж-1п'!$AE$12:$AE$26),0)</f>
        <v>#N/A</v>
      </c>
      <c r="E16" s="62" t="e">
        <f>VLOOKUP('К4-Ж-итог'!$A16,'К4-Ж-2п'!$A$12:$AE$26,COLUMN('К4-Ж-2п'!$AE$12:$AE$26),0)</f>
        <v>#N/A</v>
      </c>
      <c r="F16" s="162" t="e">
        <f>'К4-Ж-итог'!$D16+'К4-Ж-итог'!$E16</f>
        <v>#N/A</v>
      </c>
      <c r="G16" s="163" t="e">
        <f>IF((COUNTIF('К4-Ж-итог'!$M$12:$M$16,'К4-Ж-итог'!$M16)-1)=0,RANK('К4-Ж-итог'!$M16,'К4-Ж-итог'!$M$12:$M$16,1),RANK('К4-Ж-итог'!$M16,'К4-Ж-итог'!$M$12:$M$16,1)&amp;"-"&amp;RANK('К4-Ж-итог'!$M16,'К4-Ж-итог'!$M$12:$M$16,1)+COUNTIF('К4-Ж-итог'!$M$12:$M$16,'К4-Ж-итог'!$M16)-1)</f>
        <v>#N/A</v>
      </c>
      <c r="H16" s="135" t="e">
        <f>HLOOKUP(ВидДистанции,ТаблицаБаллов,MATCH('К4-Ж-итог'!$G16,ЗанятоеМесто,0),0)</f>
        <v>#REF!</v>
      </c>
      <c r="I16" s="136" t="e">
        <f>100*'К4-Ж-итог'!$F16/MIN('К4-Ж-итог'!$F$12:$F$16)</f>
        <v>#N/A</v>
      </c>
      <c r="J16" s="21" t="e">
        <f>'К4-Ж-итог'!$G16&lt;=VLOOKUP($O$5,т_вид_участия,2,0)</f>
        <v>#N/A</v>
      </c>
      <c r="K16" s="53" t="e">
        <f>IF('К4-Ж-итог'!$J16=FALSE,0,VLOOKUP('К4-Ж-итог'!$A16,#REF!,COLUMN(#REF!),0))</f>
        <v>#N/A</v>
      </c>
      <c r="L16" s="137" t="e">
        <f>IF('К4-Ж-итог'!$I16&lt;=$P$7,"1 разряд",IF('К4-Ж-итог'!$I16&lt;=$Q$7,"2 разряд",IF('К4-Ж-итог'!$I16&lt;=$R$7,"3 разряд","")))</f>
        <v>#N/A</v>
      </c>
      <c r="M16" s="100" t="e">
        <f>'К4-Ж-итог'!$D16+'К4-Ж-итог'!$E16+'К4-Ж-итог'!$F16</f>
        <v>#N/A</v>
      </c>
    </row>
    <row r="17" spans="1:12" ht="25.5" customHeight="1" outlineLevel="1">
      <c r="A17" s="325" t="s">
        <v>159</v>
      </c>
      <c r="B17" s="325"/>
      <c r="C17" s="325"/>
      <c r="D17" s="325"/>
      <c r="E17" s="325"/>
      <c r="F17" s="325"/>
      <c r="G17" s="181" t="e">
        <f>"Класс дистанции - "&amp;VLOOKUP(ранг,т_класс_дистанции,3,1)&amp;""</f>
        <v>#REF!</v>
      </c>
      <c r="H17" s="321" t="e">
        <f>"Квалификационный ранг  - "&amp;O7</f>
        <v>#REF!</v>
      </c>
      <c r="I17" s="321"/>
      <c r="J17" s="321"/>
      <c r="K17" s="321"/>
      <c r="L17" s="321"/>
    </row>
    <row r="18" spans="1:12" ht="24" customHeight="1" outlineLevel="1">
      <c r="A18" s="325"/>
      <c r="B18" s="325"/>
      <c r="C18" s="325"/>
      <c r="D18" s="325"/>
      <c r="E18" s="325"/>
      <c r="F18" s="325"/>
      <c r="G18" s="181" t="s">
        <v>11</v>
      </c>
      <c r="H18" s="321" t="e">
        <f>IF(P7=0,"не присваивается",P7&amp;" % от результата победителя")</f>
        <v>#REF!</v>
      </c>
      <c r="I18" s="321"/>
      <c r="J18" s="321"/>
      <c r="K18" s="321"/>
      <c r="L18" s="321"/>
    </row>
    <row r="19" spans="1:12" ht="24" customHeight="1" outlineLevel="1">
      <c r="A19" s="26"/>
      <c r="B19" s="26"/>
      <c r="C19" s="27"/>
      <c r="D19" s="28"/>
      <c r="E19" s="25"/>
      <c r="G19" s="181" t="s">
        <v>12</v>
      </c>
      <c r="H19" s="321" t="e">
        <f>IF(Q7=0,"не присваивается",Q7&amp;" % от результата победителя")</f>
        <v>#REF!</v>
      </c>
      <c r="I19" s="321"/>
      <c r="J19" s="321"/>
      <c r="K19" s="321"/>
      <c r="L19" s="321"/>
    </row>
    <row r="20" spans="1:12" ht="24" customHeight="1" outlineLevel="1">
      <c r="A20" s="26"/>
      <c r="B20" s="26"/>
      <c r="C20" s="27"/>
      <c r="D20" s="28"/>
      <c r="E20" s="25"/>
      <c r="G20" s="181" t="s">
        <v>13</v>
      </c>
      <c r="H20" s="321" t="e">
        <f>R7&amp;" % от результата победителя"</f>
        <v>#REF!</v>
      </c>
      <c r="I20" s="321"/>
      <c r="J20" s="321"/>
      <c r="K20" s="321"/>
      <c r="L20" s="321"/>
    </row>
    <row r="21" spans="1:11" ht="15">
      <c r="A21" s="25"/>
      <c r="B21" s="25"/>
      <c r="C21" s="25"/>
      <c r="D21" s="25"/>
      <c r="E21" s="25"/>
      <c r="F21" s="3"/>
      <c r="G21" s="5"/>
      <c r="H21" s="3"/>
      <c r="I21" s="1"/>
      <c r="J21" s="1"/>
      <c r="K21" s="1"/>
    </row>
    <row r="22" spans="1:8" ht="15.75">
      <c r="A22" s="326" t="s">
        <v>7</v>
      </c>
      <c r="B22" s="326"/>
      <c r="C22" s="326"/>
      <c r="D22" s="304"/>
      <c r="E22" s="304"/>
      <c r="F22" s="54" t="e">
        <f>фиосудья</f>
        <v>#REF!</v>
      </c>
      <c r="G22" s="179"/>
      <c r="H22" s="14"/>
    </row>
    <row r="23" spans="1:8" ht="15.75">
      <c r="A23" s="326" t="s">
        <v>6</v>
      </c>
      <c r="B23" s="326"/>
      <c r="C23" s="326"/>
      <c r="D23" s="179"/>
      <c r="E23" s="179"/>
      <c r="F23" s="12" t="e">
        <f>фиосекретарь</f>
        <v>#REF!</v>
      </c>
      <c r="G23" s="179"/>
      <c r="H23" s="14"/>
    </row>
    <row r="24" spans="1:8" ht="15">
      <c r="A24" s="303" t="e">
        <f>дата_протокол</f>
        <v>#REF!</v>
      </c>
      <c r="B24" s="303"/>
      <c r="C24" s="303"/>
      <c r="D24" s="304"/>
      <c r="E24" s="304"/>
      <c r="F24" s="14"/>
      <c r="G24" s="179"/>
      <c r="H24" s="14"/>
    </row>
    <row r="25" spans="1:8" ht="15">
      <c r="A25" s="14"/>
      <c r="B25" s="14"/>
      <c r="C25" s="14"/>
      <c r="D25" s="14"/>
      <c r="E25" s="14"/>
      <c r="F25" s="14"/>
      <c r="G25" s="179"/>
      <c r="H25" s="14"/>
    </row>
    <row r="26" spans="1:8" ht="15">
      <c r="A26" s="14"/>
      <c r="B26" s="14"/>
      <c r="C26" s="14"/>
      <c r="D26" s="14"/>
      <c r="E26" s="14"/>
      <c r="F26" s="14"/>
      <c r="G26" s="179"/>
      <c r="H26" s="14"/>
    </row>
    <row r="27" spans="1:8" ht="15">
      <c r="A27" s="14"/>
      <c r="B27" s="14"/>
      <c r="F27" s="14"/>
      <c r="G27" s="179"/>
      <c r="H27" s="14"/>
    </row>
    <row r="28" spans="1:8" ht="15">
      <c r="A28" s="179"/>
      <c r="B28" s="179"/>
      <c r="F28" s="179"/>
      <c r="G28" s="179"/>
      <c r="H28" s="14"/>
    </row>
    <row r="29" spans="1:8" ht="15">
      <c r="A29" s="14"/>
      <c r="B29" s="14"/>
      <c r="C29" s="14"/>
      <c r="D29" s="14"/>
      <c r="E29" s="14"/>
      <c r="F29" s="14"/>
      <c r="G29" s="179"/>
      <c r="H29" s="14"/>
    </row>
    <row r="30" spans="1:8" ht="15">
      <c r="A30" s="14"/>
      <c r="B30" s="14"/>
      <c r="F30" s="14"/>
      <c r="G30" s="179"/>
      <c r="H30" s="14"/>
    </row>
    <row r="31" spans="1:13" ht="15">
      <c r="A31" s="14"/>
      <c r="B31" s="14"/>
      <c r="F31" s="14"/>
      <c r="G31" s="179"/>
      <c r="H31" s="14"/>
      <c r="I31" s="14"/>
      <c r="J31" s="14"/>
      <c r="K31" s="14"/>
      <c r="L31" s="14"/>
      <c r="M31" s="14"/>
    </row>
    <row r="32" spans="1:13" ht="15">
      <c r="A32" s="14"/>
      <c r="B32" s="14"/>
      <c r="F32" s="14"/>
      <c r="G32" s="179"/>
      <c r="H32" s="14"/>
      <c r="I32" s="14"/>
      <c r="J32" s="14"/>
      <c r="K32" s="14"/>
      <c r="L32" s="14"/>
      <c r="M32" s="14"/>
    </row>
    <row r="33" spans="1:13" ht="15">
      <c r="A33" s="14"/>
      <c r="B33" s="14"/>
      <c r="F33" s="14"/>
      <c r="G33" s="179"/>
      <c r="H33" s="14"/>
      <c r="I33" s="14"/>
      <c r="J33" s="14"/>
      <c r="K33" s="14"/>
      <c r="L33" s="14"/>
      <c r="M33" s="14"/>
    </row>
    <row r="34" spans="1:13" ht="15">
      <c r="A34" s="14"/>
      <c r="B34" s="14"/>
      <c r="F34" s="14"/>
      <c r="G34" s="179"/>
      <c r="H34" s="14"/>
      <c r="I34" s="14"/>
      <c r="J34" s="14"/>
      <c r="K34" s="14"/>
      <c r="L34" s="14"/>
      <c r="M34" s="14"/>
    </row>
    <row r="35" spans="1:13" ht="15">
      <c r="A35" s="14"/>
      <c r="B35" s="14"/>
      <c r="F35" s="14"/>
      <c r="G35" s="179"/>
      <c r="H35" s="14"/>
      <c r="I35" s="14"/>
      <c r="J35" s="14"/>
      <c r="K35" s="14"/>
      <c r="L35" s="14"/>
      <c r="M35" s="14"/>
    </row>
    <row r="36" spans="1:13" ht="15">
      <c r="A36" s="14"/>
      <c r="B36" s="14"/>
      <c r="F36" s="9"/>
      <c r="G36" s="179"/>
      <c r="H36" s="14"/>
      <c r="I36" s="14"/>
      <c r="J36" s="14"/>
      <c r="K36" s="14"/>
      <c r="L36" s="14"/>
      <c r="M36" s="14"/>
    </row>
    <row r="37" spans="6:13" ht="15">
      <c r="F37" s="14"/>
      <c r="G37" s="179"/>
      <c r="H37" s="14"/>
      <c r="I37" s="14"/>
      <c r="J37" s="14"/>
      <c r="K37" s="14"/>
      <c r="L37" s="14"/>
      <c r="M37" s="14"/>
    </row>
    <row r="38" spans="5:13" ht="15">
      <c r="E38" s="14"/>
      <c r="F38" s="14"/>
      <c r="G38" s="179"/>
      <c r="H38" s="14"/>
      <c r="I38" s="14"/>
      <c r="J38" s="14"/>
      <c r="K38" s="14"/>
      <c r="L38" s="14"/>
      <c r="M38" s="14"/>
    </row>
    <row r="39" spans="5:13" ht="15">
      <c r="E39" s="14"/>
      <c r="F39" s="14"/>
      <c r="G39" s="179"/>
      <c r="H39" s="14"/>
      <c r="I39" s="14"/>
      <c r="J39" s="14"/>
      <c r="K39" s="14"/>
      <c r="L39" s="14"/>
      <c r="M39" s="14"/>
    </row>
    <row r="40" spans="5:13" ht="15">
      <c r="E40" s="14"/>
      <c r="F40" s="14"/>
      <c r="G40" s="179"/>
      <c r="H40" s="14"/>
      <c r="I40" s="14"/>
      <c r="J40" s="14"/>
      <c r="K40" s="14"/>
      <c r="L40" s="14"/>
      <c r="M40" s="14"/>
    </row>
    <row r="41" spans="5:13" ht="15">
      <c r="E41" s="14"/>
      <c r="F41" s="14"/>
      <c r="G41" s="179"/>
      <c r="H41" s="14"/>
      <c r="I41" s="14"/>
      <c r="J41" s="14"/>
      <c r="K41" s="14"/>
      <c r="L41" s="14"/>
      <c r="M41" s="14"/>
    </row>
    <row r="42" spans="5:13" ht="15">
      <c r="E42" s="14"/>
      <c r="F42" s="14"/>
      <c r="G42" s="179"/>
      <c r="H42" s="14"/>
      <c r="I42" s="14"/>
      <c r="J42" s="14"/>
      <c r="K42" s="14"/>
      <c r="L42" s="14"/>
      <c r="M42" s="14"/>
    </row>
    <row r="43" spans="5:13" ht="15">
      <c r="E43" s="14"/>
      <c r="F43" s="14"/>
      <c r="G43" s="179"/>
      <c r="H43" s="14"/>
      <c r="I43" s="14"/>
      <c r="J43" s="14"/>
      <c r="K43" s="14"/>
      <c r="L43" s="14"/>
      <c r="M43" s="14"/>
    </row>
    <row r="44" spans="6:13" ht="15">
      <c r="F44" s="14"/>
      <c r="G44" s="179"/>
      <c r="H44" s="14"/>
      <c r="I44" s="14"/>
      <c r="J44" s="14"/>
      <c r="K44" s="14"/>
      <c r="L44" s="14"/>
      <c r="M44" s="14"/>
    </row>
    <row r="45" spans="6:13" ht="15">
      <c r="F45" s="14"/>
      <c r="G45" s="179"/>
      <c r="H45" s="14"/>
      <c r="I45" s="14"/>
      <c r="J45" s="14"/>
      <c r="K45" s="14"/>
      <c r="L45" s="14"/>
      <c r="M45" s="14"/>
    </row>
  </sheetData>
  <sheetProtection/>
  <mergeCells count="23">
    <mergeCell ref="A22:C22"/>
    <mergeCell ref="D22:E22"/>
    <mergeCell ref="A23:C23"/>
    <mergeCell ref="A24:C24"/>
    <mergeCell ref="D24:E24"/>
    <mergeCell ref="H20:L20"/>
    <mergeCell ref="B5:C5"/>
    <mergeCell ref="D5:L5"/>
    <mergeCell ref="B6:C6"/>
    <mergeCell ref="D6:L6"/>
    <mergeCell ref="B7:C7"/>
    <mergeCell ref="D7:L7"/>
    <mergeCell ref="A10:L10"/>
    <mergeCell ref="A17:F18"/>
    <mergeCell ref="H17:L17"/>
    <mergeCell ref="H18:L18"/>
    <mergeCell ref="H19:L19"/>
    <mergeCell ref="B1:C2"/>
    <mergeCell ref="D1:L2"/>
    <mergeCell ref="B3:C3"/>
    <mergeCell ref="D3:L3"/>
    <mergeCell ref="B4:C4"/>
    <mergeCell ref="D4:L4"/>
  </mergeCells>
  <dataValidations count="7">
    <dataValidation type="list" allowBlank="1" showInputMessage="1" showErrorMessage="1" sqref="O2">
      <formula1>дистанцииБаллы</formula1>
    </dataValidation>
    <dataValidation type="list" allowBlank="1" showInputMessage="1" showErrorMessage="1" sqref="O5">
      <formula1>вид_участия</formula1>
    </dataValidation>
    <dataValidation type="whole" operator="greaterThan" allowBlank="1" showErrorMessage="1" errorTitle="Внимание!" error="Данные в этой ячейке должны быть целым числом без любых дополнительных знаков." sqref="B12:B16">
      <formula1>0</formula1>
    </dataValidation>
    <dataValidation type="time" operator="greaterThanOrEqual" allowBlank="1" showInputMessage="1" showErrorMessage="1" sqref="D13:D16">
      <formula1>0</formula1>
    </dataValidation>
    <dataValidation type="list" allowBlank="1" showInputMessage="1" showErrorMessage="1" sqref="D4">
      <formula1>дисциплины</formula1>
    </dataValidation>
    <dataValidation errorStyle="information" type="time" operator="greaterThanOrEqual" allowBlank="1" errorTitle="сообщениеаа" sqref="D12">
      <formula1>0</formula1>
    </dataValidation>
    <dataValidation type="time" operator="greaterThanOrEqual" allowBlank="1" showInputMessage="1" sqref="E12">
      <formula1>0</formula1>
    </dataValidation>
  </dataValidations>
  <printOptions/>
  <pageMargins left="0.5905511811023623" right="0.5905511811023623" top="0.5905511811023623" bottom="0.5905511811023623" header="0" footer="0"/>
  <pageSetup fitToHeight="1" fitToWidth="1" horizontalDpi="300" verticalDpi="300" orientation="landscape" paperSize="9" scale="98" r:id="rId5"/>
  <drawing r:id="rId4"/>
  <legacyDrawing r:id="rId2"/>
  <tableParts>
    <tablePart r:id="rId3"/>
  </tablePart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F21"/>
  <sheetViews>
    <sheetView tabSelected="1" zoomScalePageLayoutView="0" workbookViewId="0" topLeftCell="A16">
      <selection activeCell="B9" sqref="B9:AE9"/>
    </sheetView>
  </sheetViews>
  <sheetFormatPr defaultColWidth="9.140625" defaultRowHeight="15" outlineLevelCol="1"/>
  <cols>
    <col min="1" max="1" width="8.57421875" style="111" customWidth="1" outlineLevel="1"/>
    <col min="2" max="2" width="7.8515625" style="111" customWidth="1"/>
    <col min="3" max="3" width="36.28125" style="111" customWidth="1"/>
    <col min="4" max="5" width="11.7109375" style="111" hidden="1" customWidth="1"/>
    <col min="6" max="6" width="7.421875" style="111" hidden="1" customWidth="1" outlineLevel="1"/>
    <col min="7" max="7" width="11.7109375" style="125" bestFit="1" customWidth="1" collapsed="1"/>
    <col min="8" max="8" width="5.8515625" style="111" hidden="1" customWidth="1" outlineLevel="1"/>
    <col min="9" max="9" width="6.28125" style="111" customWidth="1" collapsed="1"/>
    <col min="10" max="21" width="5.28125" style="111" customWidth="1"/>
    <col min="22" max="28" width="5.28125" style="111" hidden="1" customWidth="1"/>
    <col min="29" max="29" width="8.421875" style="111" customWidth="1"/>
    <col min="30" max="30" width="9.57421875" style="111" customWidth="1"/>
    <col min="31" max="31" width="10.57421875" style="111" customWidth="1"/>
    <col min="32" max="16384" width="9.140625" style="111" customWidth="1"/>
  </cols>
  <sheetData>
    <row r="1" spans="1:31" ht="26.25" customHeight="1">
      <c r="A1" s="80"/>
      <c r="B1" s="288"/>
      <c r="C1" s="288"/>
      <c r="D1" s="289" t="s">
        <v>208</v>
      </c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  <c r="T1" s="290"/>
      <c r="U1" s="290"/>
      <c r="V1" s="290"/>
      <c r="W1" s="290"/>
      <c r="X1" s="290"/>
      <c r="Y1" s="290"/>
      <c r="Z1" s="290"/>
      <c r="AA1" s="290"/>
      <c r="AB1" s="290"/>
      <c r="AC1" s="290"/>
      <c r="AD1" s="290"/>
      <c r="AE1" s="291"/>
    </row>
    <row r="2" spans="1:31" ht="22.5" customHeight="1">
      <c r="A2" s="81"/>
      <c r="B2" s="288"/>
      <c r="C2" s="288"/>
      <c r="D2" s="292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W2" s="293"/>
      <c r="X2" s="293"/>
      <c r="Y2" s="293"/>
      <c r="Z2" s="293"/>
      <c r="AA2" s="293"/>
      <c r="AB2" s="293"/>
      <c r="AC2" s="293"/>
      <c r="AD2" s="293"/>
      <c r="AE2" s="294"/>
    </row>
    <row r="3" spans="2:31" ht="15.75" customHeight="1">
      <c r="B3" s="295" t="s">
        <v>1</v>
      </c>
      <c r="C3" s="296"/>
      <c r="D3" s="297" t="s">
        <v>206</v>
      </c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97"/>
      <c r="R3" s="297"/>
      <c r="S3" s="297"/>
      <c r="T3" s="297"/>
      <c r="U3" s="297"/>
      <c r="V3" s="297"/>
      <c r="W3" s="297"/>
      <c r="X3" s="297"/>
      <c r="Y3" s="297"/>
      <c r="Z3" s="297"/>
      <c r="AA3" s="297"/>
      <c r="AB3" s="297"/>
      <c r="AC3" s="297"/>
      <c r="AD3" s="297"/>
      <c r="AE3" s="297"/>
    </row>
    <row r="4" spans="2:31" ht="15.75" customHeight="1">
      <c r="B4" s="298" t="s">
        <v>2</v>
      </c>
      <c r="C4" s="299"/>
      <c r="D4" s="300" t="s">
        <v>191</v>
      </c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1"/>
      <c r="P4" s="301"/>
      <c r="Q4" s="301"/>
      <c r="R4" s="301"/>
      <c r="S4" s="301"/>
      <c r="T4" s="301"/>
      <c r="U4" s="301"/>
      <c r="V4" s="301"/>
      <c r="W4" s="301"/>
      <c r="X4" s="301"/>
      <c r="Y4" s="301"/>
      <c r="Z4" s="301"/>
      <c r="AA4" s="301"/>
      <c r="AB4" s="301"/>
      <c r="AC4" s="301"/>
      <c r="AD4" s="301"/>
      <c r="AE4" s="302"/>
    </row>
    <row r="5" spans="2:31" ht="15.75" customHeight="1">
      <c r="B5" s="298" t="s">
        <v>3</v>
      </c>
      <c r="C5" s="299"/>
      <c r="D5" s="305"/>
      <c r="E5" s="305"/>
      <c r="F5" s="305"/>
      <c r="G5" s="305"/>
      <c r="H5" s="305"/>
      <c r="I5" s="305"/>
      <c r="J5" s="305"/>
      <c r="K5" s="305"/>
      <c r="L5" s="305"/>
      <c r="M5" s="305"/>
      <c r="N5" s="305"/>
      <c r="O5" s="305"/>
      <c r="P5" s="305"/>
      <c r="Q5" s="305"/>
      <c r="R5" s="305"/>
      <c r="S5" s="305"/>
      <c r="T5" s="305"/>
      <c r="U5" s="305"/>
      <c r="V5" s="305"/>
      <c r="W5" s="305"/>
      <c r="X5" s="305"/>
      <c r="Y5" s="305"/>
      <c r="Z5" s="305"/>
      <c r="AA5" s="305"/>
      <c r="AB5" s="305"/>
      <c r="AC5" s="305"/>
      <c r="AD5" s="305"/>
      <c r="AE5" s="305"/>
    </row>
    <row r="6" spans="2:31" ht="15.75" customHeight="1">
      <c r="B6" s="298" t="s">
        <v>4</v>
      </c>
      <c r="C6" s="299"/>
      <c r="D6" s="306"/>
      <c r="E6" s="306"/>
      <c r="F6" s="306"/>
      <c r="G6" s="306"/>
      <c r="H6" s="306"/>
      <c r="I6" s="306"/>
      <c r="J6" s="306"/>
      <c r="K6" s="306"/>
      <c r="L6" s="306"/>
      <c r="M6" s="306"/>
      <c r="N6" s="306"/>
      <c r="O6" s="306"/>
      <c r="P6" s="306"/>
      <c r="Q6" s="306"/>
      <c r="R6" s="306"/>
      <c r="S6" s="306"/>
      <c r="T6" s="306"/>
      <c r="U6" s="306"/>
      <c r="V6" s="306"/>
      <c r="W6" s="306"/>
      <c r="X6" s="306"/>
      <c r="Y6" s="306"/>
      <c r="Z6" s="306"/>
      <c r="AA6" s="306"/>
      <c r="AB6" s="306"/>
      <c r="AC6" s="306"/>
      <c r="AD6" s="306"/>
      <c r="AE6" s="306"/>
    </row>
    <row r="7" spans="2:31" ht="15.75" customHeight="1">
      <c r="B7" s="298" t="s">
        <v>5</v>
      </c>
      <c r="C7" s="299"/>
      <c r="D7" s="306"/>
      <c r="E7" s="306"/>
      <c r="F7" s="306"/>
      <c r="G7" s="306"/>
      <c r="H7" s="306"/>
      <c r="I7" s="306"/>
      <c r="J7" s="306"/>
      <c r="K7" s="306"/>
      <c r="L7" s="306"/>
      <c r="M7" s="306"/>
      <c r="N7" s="306"/>
      <c r="O7" s="306"/>
      <c r="P7" s="306"/>
      <c r="Q7" s="306"/>
      <c r="R7" s="306"/>
      <c r="S7" s="306"/>
      <c r="T7" s="306"/>
      <c r="U7" s="306"/>
      <c r="V7" s="306"/>
      <c r="W7" s="306"/>
      <c r="X7" s="306"/>
      <c r="Y7" s="306"/>
      <c r="Z7" s="306"/>
      <c r="AA7" s="306"/>
      <c r="AB7" s="306"/>
      <c r="AC7" s="306"/>
      <c r="AD7" s="306"/>
      <c r="AE7" s="306"/>
    </row>
    <row r="8" spans="1:31" ht="15">
      <c r="A8" s="1"/>
      <c r="B8" s="1"/>
      <c r="C8" s="1"/>
      <c r="D8" s="1"/>
      <c r="E8" s="1"/>
      <c r="F8" s="1"/>
      <c r="G8" s="122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2:31" ht="15.75">
      <c r="B9" s="307" t="s">
        <v>139</v>
      </c>
      <c r="C9" s="307"/>
      <c r="D9" s="307"/>
      <c r="E9" s="307"/>
      <c r="F9" s="307"/>
      <c r="G9" s="307"/>
      <c r="H9" s="307"/>
      <c r="I9" s="307"/>
      <c r="J9" s="307"/>
      <c r="K9" s="307"/>
      <c r="L9" s="307"/>
      <c r="M9" s="307"/>
      <c r="N9" s="307"/>
      <c r="O9" s="307"/>
      <c r="P9" s="307"/>
      <c r="Q9" s="307"/>
      <c r="R9" s="307"/>
      <c r="S9" s="307"/>
      <c r="T9" s="307"/>
      <c r="U9" s="307"/>
      <c r="V9" s="307"/>
      <c r="W9" s="307"/>
      <c r="X9" s="307"/>
      <c r="Y9" s="307"/>
      <c r="Z9" s="307"/>
      <c r="AA9" s="307"/>
      <c r="AB9" s="307"/>
      <c r="AC9" s="307"/>
      <c r="AD9" s="307"/>
      <c r="AE9" s="307"/>
    </row>
    <row r="10" spans="1:31" ht="20.25" customHeight="1">
      <c r="A10" s="83"/>
      <c r="B10" s="308"/>
      <c r="C10" s="309"/>
      <c r="D10" s="309"/>
      <c r="E10" s="309"/>
      <c r="F10" s="309"/>
      <c r="G10" s="310"/>
      <c r="H10" s="84"/>
      <c r="I10" s="311" t="s">
        <v>194</v>
      </c>
      <c r="J10" s="312"/>
      <c r="K10" s="312"/>
      <c r="L10" s="312"/>
      <c r="M10" s="312"/>
      <c r="N10" s="312"/>
      <c r="O10" s="312"/>
      <c r="P10" s="312"/>
      <c r="Q10" s="312"/>
      <c r="R10" s="312"/>
      <c r="S10" s="312"/>
      <c r="T10" s="312"/>
      <c r="U10" s="312"/>
      <c r="V10" s="312"/>
      <c r="W10" s="312"/>
      <c r="X10" s="312"/>
      <c r="Y10" s="312"/>
      <c r="Z10" s="312"/>
      <c r="AA10" s="312"/>
      <c r="AB10" s="313"/>
      <c r="AC10" s="311" t="s">
        <v>34</v>
      </c>
      <c r="AD10" s="313"/>
      <c r="AE10" s="180"/>
    </row>
    <row r="11" spans="1:31" ht="77.25" customHeight="1">
      <c r="A11" s="79" t="s">
        <v>154</v>
      </c>
      <c r="B11" s="15" t="s">
        <v>39</v>
      </c>
      <c r="C11" s="60" t="s">
        <v>41</v>
      </c>
      <c r="D11" s="40" t="s">
        <v>37</v>
      </c>
      <c r="E11" s="40" t="s">
        <v>36</v>
      </c>
      <c r="F11" s="40" t="s">
        <v>35</v>
      </c>
      <c r="G11" s="128" t="s">
        <v>149</v>
      </c>
      <c r="H11" s="61" t="s">
        <v>38</v>
      </c>
      <c r="I11" s="38" t="s">
        <v>17</v>
      </c>
      <c r="J11" s="38" t="s">
        <v>16</v>
      </c>
      <c r="K11" s="38" t="s">
        <v>19</v>
      </c>
      <c r="L11" s="38" t="s">
        <v>15</v>
      </c>
      <c r="M11" s="38" t="s">
        <v>30</v>
      </c>
      <c r="N11" s="38" t="s">
        <v>20</v>
      </c>
      <c r="O11" s="38" t="s">
        <v>26</v>
      </c>
      <c r="P11" s="38" t="s">
        <v>141</v>
      </c>
      <c r="Q11" s="38" t="s">
        <v>21</v>
      </c>
      <c r="R11" s="38" t="s">
        <v>29</v>
      </c>
      <c r="S11" s="38" t="s">
        <v>27</v>
      </c>
      <c r="T11" s="38" t="s">
        <v>25</v>
      </c>
      <c r="U11" s="38" t="s">
        <v>18</v>
      </c>
      <c r="V11" s="38" t="s">
        <v>140</v>
      </c>
      <c r="W11" s="38" t="s">
        <v>22</v>
      </c>
      <c r="X11" s="38" t="s">
        <v>23</v>
      </c>
      <c r="Y11" s="38" t="s">
        <v>24</v>
      </c>
      <c r="Z11" s="38" t="s">
        <v>184</v>
      </c>
      <c r="AA11" s="38" t="s">
        <v>192</v>
      </c>
      <c r="AB11" s="38" t="s">
        <v>193</v>
      </c>
      <c r="AC11" s="15" t="s">
        <v>9</v>
      </c>
      <c r="AD11" s="19" t="s">
        <v>32</v>
      </c>
      <c r="AE11" s="20" t="s">
        <v>150</v>
      </c>
    </row>
    <row r="12" spans="1:31" ht="18" customHeight="1">
      <c r="A12" s="237"/>
      <c r="B12" s="16">
        <v>1</v>
      </c>
      <c r="C12" s="71" t="s">
        <v>199</v>
      </c>
      <c r="D12" s="37">
        <v>0.007638888888888889</v>
      </c>
      <c r="E12" s="37">
        <v>0.009768518518518518</v>
      </c>
      <c r="F12" s="37"/>
      <c r="G12" s="73">
        <v>0.0021296296296296298</v>
      </c>
      <c r="H12" s="16">
        <v>1</v>
      </c>
      <c r="I12" s="39">
        <v>0</v>
      </c>
      <c r="J12" s="39">
        <v>0</v>
      </c>
      <c r="K12" s="39">
        <v>50</v>
      </c>
      <c r="L12" s="39">
        <v>0</v>
      </c>
      <c r="M12" s="39">
        <v>0</v>
      </c>
      <c r="N12" s="39">
        <v>0</v>
      </c>
      <c r="O12" s="39">
        <v>0</v>
      </c>
      <c r="P12" s="39">
        <v>50</v>
      </c>
      <c r="Q12" s="39">
        <v>0</v>
      </c>
      <c r="R12" s="39">
        <v>0</v>
      </c>
      <c r="S12" s="39">
        <v>5</v>
      </c>
      <c r="T12" s="39">
        <v>0</v>
      </c>
      <c r="U12" s="39">
        <v>5</v>
      </c>
      <c r="V12" s="39"/>
      <c r="W12" s="39"/>
      <c r="X12" s="39"/>
      <c r="Y12" s="39"/>
      <c r="Z12" s="39"/>
      <c r="AA12" s="39"/>
      <c r="AB12" s="39"/>
      <c r="AC12" s="16">
        <v>110</v>
      </c>
      <c r="AD12" s="7">
        <v>0.001273148148148148</v>
      </c>
      <c r="AE12" s="6">
        <v>0.003402777777777778</v>
      </c>
    </row>
    <row r="13" spans="1:31" ht="15.75">
      <c r="A13" s="237"/>
      <c r="B13" s="16">
        <v>2</v>
      </c>
      <c r="C13" s="71" t="s">
        <v>198</v>
      </c>
      <c r="D13" s="37">
        <v>0.004861111111111111</v>
      </c>
      <c r="E13" s="37">
        <v>0.007824074074074075</v>
      </c>
      <c r="F13" s="37"/>
      <c r="G13" s="73">
        <v>0.002962962962962964</v>
      </c>
      <c r="H13" s="16">
        <v>2</v>
      </c>
      <c r="I13" s="39">
        <v>0</v>
      </c>
      <c r="J13" s="39">
        <v>5</v>
      </c>
      <c r="K13" s="39">
        <v>5</v>
      </c>
      <c r="L13" s="39">
        <v>0</v>
      </c>
      <c r="M13" s="39">
        <v>0</v>
      </c>
      <c r="N13" s="39">
        <v>50</v>
      </c>
      <c r="O13" s="39">
        <v>5</v>
      </c>
      <c r="P13" s="39">
        <v>50</v>
      </c>
      <c r="Q13" s="39">
        <v>0</v>
      </c>
      <c r="R13" s="39">
        <v>0</v>
      </c>
      <c r="S13" s="39">
        <v>5</v>
      </c>
      <c r="T13" s="39">
        <v>50</v>
      </c>
      <c r="U13" s="39">
        <v>5</v>
      </c>
      <c r="V13" s="39"/>
      <c r="W13" s="39"/>
      <c r="X13" s="39"/>
      <c r="Y13" s="39"/>
      <c r="Z13" s="39"/>
      <c r="AA13" s="39"/>
      <c r="AB13" s="39"/>
      <c r="AC13" s="16">
        <v>175</v>
      </c>
      <c r="AD13" s="7">
        <v>0.002025462962962963</v>
      </c>
      <c r="AE13" s="6">
        <v>0.004988425925925927</v>
      </c>
    </row>
    <row r="14" spans="1:31" ht="15.75">
      <c r="A14" s="259"/>
      <c r="B14" s="243">
        <v>3</v>
      </c>
      <c r="C14" s="244" t="s">
        <v>200</v>
      </c>
      <c r="D14" s="245">
        <v>0.018055555555555557</v>
      </c>
      <c r="E14" s="245">
        <v>0.021585648148148145</v>
      </c>
      <c r="F14" s="245"/>
      <c r="G14" s="246">
        <v>0.003530092592592588</v>
      </c>
      <c r="H14" s="243">
        <v>1</v>
      </c>
      <c r="I14" s="247">
        <v>5</v>
      </c>
      <c r="J14" s="247">
        <v>0</v>
      </c>
      <c r="K14" s="247">
        <v>5</v>
      </c>
      <c r="L14" s="247">
        <v>5</v>
      </c>
      <c r="M14" s="247">
        <v>5</v>
      </c>
      <c r="N14" s="247">
        <v>0</v>
      </c>
      <c r="O14" s="247">
        <v>5</v>
      </c>
      <c r="P14" s="247">
        <v>5</v>
      </c>
      <c r="Q14" s="247">
        <v>5</v>
      </c>
      <c r="R14" s="247">
        <v>0</v>
      </c>
      <c r="S14" s="247">
        <v>50</v>
      </c>
      <c r="T14" s="247">
        <v>0</v>
      </c>
      <c r="U14" s="247">
        <v>50</v>
      </c>
      <c r="V14" s="247"/>
      <c r="W14" s="247"/>
      <c r="X14" s="247"/>
      <c r="Y14" s="247"/>
      <c r="Z14" s="247"/>
      <c r="AA14" s="247"/>
      <c r="AB14" s="247"/>
      <c r="AC14" s="243">
        <v>135</v>
      </c>
      <c r="AD14" s="248">
        <v>0.0015624999999999999</v>
      </c>
      <c r="AE14" s="249">
        <v>0.005092592592592588</v>
      </c>
    </row>
    <row r="15" spans="1:31" s="232" customFormat="1" ht="15.75">
      <c r="A15" s="183"/>
      <c r="B15" s="243">
        <v>4</v>
      </c>
      <c r="C15" s="244" t="s">
        <v>203</v>
      </c>
      <c r="D15" s="245">
        <v>0.02152777777777778</v>
      </c>
      <c r="E15" s="245">
        <v>0.0250462962962963</v>
      </c>
      <c r="F15" s="245"/>
      <c r="G15" s="246">
        <v>0.003518518518518518</v>
      </c>
      <c r="H15" s="243">
        <v>2</v>
      </c>
      <c r="I15" s="247">
        <v>0</v>
      </c>
      <c r="J15" s="247">
        <v>5</v>
      </c>
      <c r="K15" s="247">
        <v>50</v>
      </c>
      <c r="L15" s="247">
        <v>0</v>
      </c>
      <c r="M15" s="247">
        <v>5</v>
      </c>
      <c r="N15" s="247">
        <v>0</v>
      </c>
      <c r="O15" s="247">
        <v>0</v>
      </c>
      <c r="P15" s="247">
        <v>50</v>
      </c>
      <c r="Q15" s="247">
        <v>0</v>
      </c>
      <c r="R15" s="247">
        <v>5</v>
      </c>
      <c r="S15" s="247">
        <v>50</v>
      </c>
      <c r="T15" s="247">
        <v>0</v>
      </c>
      <c r="U15" s="247">
        <v>0</v>
      </c>
      <c r="V15" s="247"/>
      <c r="W15" s="247"/>
      <c r="X15" s="247"/>
      <c r="Y15" s="247"/>
      <c r="Z15" s="247"/>
      <c r="AA15" s="247"/>
      <c r="AB15" s="247"/>
      <c r="AC15" s="243">
        <v>165</v>
      </c>
      <c r="AD15" s="248">
        <v>0.0019097222222222222</v>
      </c>
      <c r="AE15" s="249">
        <v>0.00542824074074074</v>
      </c>
    </row>
    <row r="16" spans="1:31" s="232" customFormat="1" ht="15.75">
      <c r="A16" s="183"/>
      <c r="B16" s="243">
        <v>5</v>
      </c>
      <c r="C16" s="244" t="s">
        <v>201</v>
      </c>
      <c r="D16" s="245">
        <v>0.007638888888888889</v>
      </c>
      <c r="E16" s="245">
        <v>0.010555555555555554</v>
      </c>
      <c r="F16" s="245"/>
      <c r="G16" s="246">
        <v>0.0029166666666666655</v>
      </c>
      <c r="H16" s="243">
        <v>1</v>
      </c>
      <c r="I16" s="247">
        <v>5</v>
      </c>
      <c r="J16" s="247">
        <v>5</v>
      </c>
      <c r="K16" s="247">
        <v>50</v>
      </c>
      <c r="L16" s="247">
        <v>50</v>
      </c>
      <c r="M16" s="247">
        <v>5</v>
      </c>
      <c r="N16" s="247">
        <v>50</v>
      </c>
      <c r="O16" s="247">
        <v>50</v>
      </c>
      <c r="P16" s="247">
        <v>50</v>
      </c>
      <c r="Q16" s="247">
        <v>0</v>
      </c>
      <c r="R16" s="247">
        <v>0</v>
      </c>
      <c r="S16" s="247">
        <v>50</v>
      </c>
      <c r="T16" s="247">
        <v>0</v>
      </c>
      <c r="U16" s="247">
        <v>5</v>
      </c>
      <c r="V16" s="247"/>
      <c r="W16" s="247"/>
      <c r="X16" s="247"/>
      <c r="Y16" s="247"/>
      <c r="Z16" s="247"/>
      <c r="AA16" s="247"/>
      <c r="AB16" s="247"/>
      <c r="AC16" s="243">
        <v>320</v>
      </c>
      <c r="AD16" s="248">
        <v>0.0037037037037037034</v>
      </c>
      <c r="AE16" s="249">
        <v>0.0066203703703703685</v>
      </c>
    </row>
    <row r="17" spans="1:31" s="232" customFormat="1" ht="15.75">
      <c r="A17" s="258"/>
      <c r="B17" s="234">
        <v>6</v>
      </c>
      <c r="C17" s="71" t="s">
        <v>204</v>
      </c>
      <c r="D17" s="235">
        <v>0.0020833333333333333</v>
      </c>
      <c r="E17" s="235">
        <v>0.00462962962962963</v>
      </c>
      <c r="F17" s="235"/>
      <c r="G17" s="73">
        <v>0.002546296296296297</v>
      </c>
      <c r="H17" s="234">
        <v>2</v>
      </c>
      <c r="I17" s="39">
        <v>0</v>
      </c>
      <c r="J17" s="39">
        <v>50</v>
      </c>
      <c r="K17" s="39">
        <v>50</v>
      </c>
      <c r="L17" s="39">
        <v>50</v>
      </c>
      <c r="M17" s="39">
        <v>50</v>
      </c>
      <c r="N17" s="39">
        <v>50</v>
      </c>
      <c r="O17" s="39">
        <v>50</v>
      </c>
      <c r="P17" s="39">
        <v>50</v>
      </c>
      <c r="Q17" s="39">
        <v>0</v>
      </c>
      <c r="R17" s="39">
        <v>0</v>
      </c>
      <c r="S17" s="39">
        <v>50</v>
      </c>
      <c r="T17" s="39">
        <v>50</v>
      </c>
      <c r="U17" s="39">
        <v>50</v>
      </c>
      <c r="V17" s="39"/>
      <c r="W17" s="39"/>
      <c r="X17" s="39"/>
      <c r="Y17" s="39"/>
      <c r="Z17" s="39"/>
      <c r="AA17" s="39"/>
      <c r="AB17" s="39"/>
      <c r="AC17" s="234">
        <v>500</v>
      </c>
      <c r="AD17" s="7">
        <v>0.005787037037037037</v>
      </c>
      <c r="AE17" s="6">
        <v>0.008333333333333333</v>
      </c>
    </row>
    <row r="18" spans="1:31" s="232" customFormat="1" ht="15.75">
      <c r="A18" s="250"/>
      <c r="B18" s="251">
        <v>7</v>
      </c>
      <c r="C18" s="252" t="s">
        <v>202</v>
      </c>
      <c r="D18" s="253">
        <v>0.005555555555555556</v>
      </c>
      <c r="E18" s="253">
        <v>0.007974537037037037</v>
      </c>
      <c r="F18" s="253"/>
      <c r="G18" s="254">
        <v>0.002418981481481481</v>
      </c>
      <c r="H18" s="251">
        <v>1</v>
      </c>
      <c r="I18" s="255">
        <v>50</v>
      </c>
      <c r="J18" s="255">
        <v>50</v>
      </c>
      <c r="K18" s="255">
        <v>50</v>
      </c>
      <c r="L18" s="255">
        <v>5</v>
      </c>
      <c r="M18" s="255">
        <v>50</v>
      </c>
      <c r="N18" s="255">
        <v>50</v>
      </c>
      <c r="O18" s="255">
        <v>50</v>
      </c>
      <c r="P18" s="255">
        <v>50</v>
      </c>
      <c r="Q18" s="255">
        <v>5</v>
      </c>
      <c r="R18" s="255">
        <v>50</v>
      </c>
      <c r="S18" s="255">
        <v>50</v>
      </c>
      <c r="T18" s="255">
        <v>50</v>
      </c>
      <c r="U18" s="255">
        <v>50</v>
      </c>
      <c r="V18" s="255"/>
      <c r="W18" s="255"/>
      <c r="X18" s="255"/>
      <c r="Y18" s="255"/>
      <c r="Z18" s="255"/>
      <c r="AA18" s="255"/>
      <c r="AB18" s="255"/>
      <c r="AC18" s="251">
        <v>560</v>
      </c>
      <c r="AD18" s="256">
        <v>0.006481481481481481</v>
      </c>
      <c r="AE18" s="257">
        <v>0.008900462962962962</v>
      </c>
    </row>
    <row r="19" spans="2:32" ht="15.75">
      <c r="B19" s="82" t="s">
        <v>7</v>
      </c>
      <c r="C19" s="82"/>
      <c r="D19" s="304"/>
      <c r="E19" s="304"/>
      <c r="G19" s="123"/>
      <c r="H19" s="10"/>
      <c r="I19" s="14"/>
      <c r="J19" s="236" t="s">
        <v>205</v>
      </c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</row>
    <row r="20" spans="2:32" ht="15.75">
      <c r="B20" s="82" t="s">
        <v>6</v>
      </c>
      <c r="C20" s="82"/>
      <c r="D20" s="179"/>
      <c r="E20" s="179"/>
      <c r="F20" s="11"/>
      <c r="G20" s="124"/>
      <c r="H20" s="11"/>
      <c r="I20" s="14"/>
      <c r="J20" s="12" t="s">
        <v>164</v>
      </c>
      <c r="K20" s="12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</row>
    <row r="21" spans="2:11" ht="15">
      <c r="B21" s="303">
        <v>43240</v>
      </c>
      <c r="C21" s="303"/>
      <c r="D21" s="304"/>
      <c r="E21" s="304"/>
      <c r="I21" s="14"/>
      <c r="J21" s="14"/>
      <c r="K21" s="14"/>
    </row>
  </sheetData>
  <sheetProtection/>
  <mergeCells count="19">
    <mergeCell ref="B21:C21"/>
    <mergeCell ref="D21:E21"/>
    <mergeCell ref="B5:C5"/>
    <mergeCell ref="D5:AE5"/>
    <mergeCell ref="B6:C6"/>
    <mergeCell ref="D6:AE6"/>
    <mergeCell ref="B7:C7"/>
    <mergeCell ref="D7:AE7"/>
    <mergeCell ref="B9:AE9"/>
    <mergeCell ref="B10:G10"/>
    <mergeCell ref="I10:AB10"/>
    <mergeCell ref="AC10:AD10"/>
    <mergeCell ref="D19:E19"/>
    <mergeCell ref="B1:C2"/>
    <mergeCell ref="D1:AE2"/>
    <mergeCell ref="B3:C3"/>
    <mergeCell ref="D3:AE3"/>
    <mergeCell ref="B4:C4"/>
    <mergeCell ref="D4:AE4"/>
  </mergeCells>
  <dataValidations count="3">
    <dataValidation type="whole" operator="greaterThan" allowBlank="1" showErrorMessage="1" errorTitle="Внимание!" error="Данные в этой ячейке должны быть целым числом без любых дополнительных знаков." sqref="B12:B18">
      <formula1>0</formula1>
    </dataValidation>
    <dataValidation type="list" allowBlank="1" showInputMessage="1" showErrorMessage="1" sqref="D4">
      <formula1>дисциплины</formula1>
    </dataValidation>
    <dataValidation type="time" operator="greaterThanOrEqual" allowBlank="1" showInputMessage="1" showErrorMessage="1" sqref="G12:G18 D12:E18">
      <formula1>0</formula1>
    </dataValidation>
  </dataValidations>
  <printOptions/>
  <pageMargins left="0.5905511811023623" right="0.5905511811023623" top="0.5905511811023623" bottom="0.5905511811023623" header="0" footer="0"/>
  <pageSetup fitToHeight="1" fitToWidth="1" horizontalDpi="300" verticalDpi="300" orientation="landscape" paperSize="9" scale="87" r:id="rId4"/>
  <legacyDrawing r:id="rId2"/>
  <tableParts>
    <tablePart r:id="rId3"/>
  </tablePart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F22"/>
  <sheetViews>
    <sheetView zoomScalePageLayoutView="0" workbookViewId="0" topLeftCell="A1">
      <selection activeCell="B3" sqref="B3:C3"/>
    </sheetView>
  </sheetViews>
  <sheetFormatPr defaultColWidth="9.140625" defaultRowHeight="15" outlineLevelCol="1"/>
  <cols>
    <col min="1" max="1" width="8.57421875" style="111" customWidth="1" outlineLevel="1"/>
    <col min="2" max="2" width="7.8515625" style="111" customWidth="1"/>
    <col min="3" max="3" width="36.28125" style="111" customWidth="1"/>
    <col min="4" max="5" width="11.7109375" style="111" hidden="1" customWidth="1"/>
    <col min="6" max="6" width="7.421875" style="111" hidden="1" customWidth="1" outlineLevel="1"/>
    <col min="7" max="7" width="11.7109375" style="125" bestFit="1" customWidth="1" collapsed="1"/>
    <col min="8" max="8" width="5.8515625" style="111" hidden="1" customWidth="1" outlineLevel="1"/>
    <col min="9" max="9" width="6.28125" style="111" customWidth="1" collapsed="1"/>
    <col min="10" max="21" width="5.28125" style="111" customWidth="1"/>
    <col min="22" max="28" width="5.28125" style="111" hidden="1" customWidth="1"/>
    <col min="29" max="29" width="8.421875" style="111" customWidth="1"/>
    <col min="30" max="30" width="9.57421875" style="111" customWidth="1"/>
    <col min="31" max="31" width="10.00390625" style="111" customWidth="1"/>
    <col min="32" max="16384" width="9.140625" style="111" customWidth="1"/>
  </cols>
  <sheetData>
    <row r="1" spans="1:31" ht="26.25" customHeight="1">
      <c r="A1" s="80"/>
      <c r="B1" s="288"/>
      <c r="C1" s="288"/>
      <c r="D1" s="289" t="s">
        <v>208</v>
      </c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  <c r="T1" s="290"/>
      <c r="U1" s="290"/>
      <c r="V1" s="290"/>
      <c r="W1" s="290"/>
      <c r="X1" s="290"/>
      <c r="Y1" s="290"/>
      <c r="Z1" s="290"/>
      <c r="AA1" s="290"/>
      <c r="AB1" s="290"/>
      <c r="AC1" s="290"/>
      <c r="AD1" s="290"/>
      <c r="AE1" s="291"/>
    </row>
    <row r="2" spans="1:31" ht="22.5" customHeight="1">
      <c r="A2" s="81"/>
      <c r="B2" s="288"/>
      <c r="C2" s="288"/>
      <c r="D2" s="292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W2" s="293"/>
      <c r="X2" s="293"/>
      <c r="Y2" s="293"/>
      <c r="Z2" s="293"/>
      <c r="AA2" s="293"/>
      <c r="AB2" s="293"/>
      <c r="AC2" s="293"/>
      <c r="AD2" s="293"/>
      <c r="AE2" s="294"/>
    </row>
    <row r="3" spans="2:31" ht="15.75" customHeight="1">
      <c r="B3" s="295" t="s">
        <v>1</v>
      </c>
      <c r="C3" s="296"/>
      <c r="D3" s="297" t="s">
        <v>206</v>
      </c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97"/>
      <c r="R3" s="297"/>
      <c r="S3" s="297"/>
      <c r="T3" s="297"/>
      <c r="U3" s="297"/>
      <c r="V3" s="297"/>
      <c r="W3" s="297"/>
      <c r="X3" s="297"/>
      <c r="Y3" s="297"/>
      <c r="Z3" s="297"/>
      <c r="AA3" s="297"/>
      <c r="AB3" s="297"/>
      <c r="AC3" s="297"/>
      <c r="AD3" s="297"/>
      <c r="AE3" s="297"/>
    </row>
    <row r="4" spans="2:31" ht="15.75" customHeight="1">
      <c r="B4" s="298" t="s">
        <v>2</v>
      </c>
      <c r="C4" s="299"/>
      <c r="D4" s="300" t="s">
        <v>191</v>
      </c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1"/>
      <c r="P4" s="301"/>
      <c r="Q4" s="301"/>
      <c r="R4" s="301"/>
      <c r="S4" s="301"/>
      <c r="T4" s="301"/>
      <c r="U4" s="301"/>
      <c r="V4" s="301"/>
      <c r="W4" s="301"/>
      <c r="X4" s="301"/>
      <c r="Y4" s="301"/>
      <c r="Z4" s="301"/>
      <c r="AA4" s="301"/>
      <c r="AB4" s="301"/>
      <c r="AC4" s="301"/>
      <c r="AD4" s="301"/>
      <c r="AE4" s="302"/>
    </row>
    <row r="5" spans="2:31" ht="15.75" customHeight="1">
      <c r="B5" s="298" t="s">
        <v>3</v>
      </c>
      <c r="C5" s="299"/>
      <c r="D5" s="305"/>
      <c r="E5" s="305"/>
      <c r="F5" s="305"/>
      <c r="G5" s="305"/>
      <c r="H5" s="305"/>
      <c r="I5" s="305"/>
      <c r="J5" s="305"/>
      <c r="K5" s="305"/>
      <c r="L5" s="305"/>
      <c r="M5" s="305"/>
      <c r="N5" s="305"/>
      <c r="O5" s="305"/>
      <c r="P5" s="305"/>
      <c r="Q5" s="305"/>
      <c r="R5" s="305"/>
      <c r="S5" s="305"/>
      <c r="T5" s="305"/>
      <c r="U5" s="305"/>
      <c r="V5" s="305"/>
      <c r="W5" s="305"/>
      <c r="X5" s="305"/>
      <c r="Y5" s="305"/>
      <c r="Z5" s="305"/>
      <c r="AA5" s="305"/>
      <c r="AB5" s="305"/>
      <c r="AC5" s="305"/>
      <c r="AD5" s="305"/>
      <c r="AE5" s="305"/>
    </row>
    <row r="6" spans="2:31" ht="15.75" customHeight="1">
      <c r="B6" s="298" t="s">
        <v>4</v>
      </c>
      <c r="C6" s="299"/>
      <c r="D6" s="306"/>
      <c r="E6" s="306"/>
      <c r="F6" s="306"/>
      <c r="G6" s="306"/>
      <c r="H6" s="306"/>
      <c r="I6" s="306"/>
      <c r="J6" s="306"/>
      <c r="K6" s="306"/>
      <c r="L6" s="306"/>
      <c r="M6" s="306"/>
      <c r="N6" s="306"/>
      <c r="O6" s="306"/>
      <c r="P6" s="306"/>
      <c r="Q6" s="306"/>
      <c r="R6" s="306"/>
      <c r="S6" s="306"/>
      <c r="T6" s="306"/>
      <c r="U6" s="306"/>
      <c r="V6" s="306"/>
      <c r="W6" s="306"/>
      <c r="X6" s="306"/>
      <c r="Y6" s="306"/>
      <c r="Z6" s="306"/>
      <c r="AA6" s="306"/>
      <c r="AB6" s="306"/>
      <c r="AC6" s="306"/>
      <c r="AD6" s="306"/>
      <c r="AE6" s="306"/>
    </row>
    <row r="7" spans="2:31" ht="15.75" customHeight="1">
      <c r="B7" s="298" t="s">
        <v>5</v>
      </c>
      <c r="C7" s="299"/>
      <c r="D7" s="306"/>
      <c r="E7" s="306"/>
      <c r="F7" s="306"/>
      <c r="G7" s="306"/>
      <c r="H7" s="306"/>
      <c r="I7" s="306"/>
      <c r="J7" s="306"/>
      <c r="K7" s="306"/>
      <c r="L7" s="306"/>
      <c r="M7" s="306"/>
      <c r="N7" s="306"/>
      <c r="O7" s="306"/>
      <c r="P7" s="306"/>
      <c r="Q7" s="306"/>
      <c r="R7" s="306"/>
      <c r="S7" s="306"/>
      <c r="T7" s="306"/>
      <c r="U7" s="306"/>
      <c r="V7" s="306"/>
      <c r="W7" s="306"/>
      <c r="X7" s="306"/>
      <c r="Y7" s="306"/>
      <c r="Z7" s="306"/>
      <c r="AA7" s="306"/>
      <c r="AB7" s="306"/>
      <c r="AC7" s="306"/>
      <c r="AD7" s="306"/>
      <c r="AE7" s="306"/>
    </row>
    <row r="8" spans="1:31" ht="15">
      <c r="A8" s="1"/>
      <c r="B8" s="1"/>
      <c r="C8" s="1"/>
      <c r="D8" s="1"/>
      <c r="E8" s="1"/>
      <c r="F8" s="1"/>
      <c r="G8" s="122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2:31" ht="15.75">
      <c r="B9" s="307" t="s">
        <v>142</v>
      </c>
      <c r="C9" s="307"/>
      <c r="D9" s="307"/>
      <c r="E9" s="307"/>
      <c r="F9" s="307"/>
      <c r="G9" s="307"/>
      <c r="H9" s="307"/>
      <c r="I9" s="307"/>
      <c r="J9" s="307"/>
      <c r="K9" s="307"/>
      <c r="L9" s="307"/>
      <c r="M9" s="307"/>
      <c r="N9" s="307"/>
      <c r="O9" s="307"/>
      <c r="P9" s="307"/>
      <c r="Q9" s="307"/>
      <c r="R9" s="307"/>
      <c r="S9" s="307"/>
      <c r="T9" s="307"/>
      <c r="U9" s="307"/>
      <c r="V9" s="307"/>
      <c r="W9" s="307"/>
      <c r="X9" s="307"/>
      <c r="Y9" s="307"/>
      <c r="Z9" s="307"/>
      <c r="AA9" s="307"/>
      <c r="AB9" s="307"/>
      <c r="AC9" s="307"/>
      <c r="AD9" s="307"/>
      <c r="AE9" s="307"/>
    </row>
    <row r="10" spans="1:31" ht="20.25" customHeight="1">
      <c r="A10" s="83"/>
      <c r="B10" s="308"/>
      <c r="C10" s="309"/>
      <c r="D10" s="309"/>
      <c r="E10" s="309"/>
      <c r="F10" s="309"/>
      <c r="G10" s="310"/>
      <c r="H10" s="84"/>
      <c r="I10" s="311" t="s">
        <v>194</v>
      </c>
      <c r="J10" s="312"/>
      <c r="K10" s="312"/>
      <c r="L10" s="312"/>
      <c r="M10" s="312"/>
      <c r="N10" s="312"/>
      <c r="O10" s="312"/>
      <c r="P10" s="312"/>
      <c r="Q10" s="312"/>
      <c r="R10" s="312"/>
      <c r="S10" s="312"/>
      <c r="T10" s="312"/>
      <c r="U10" s="312"/>
      <c r="V10" s="312"/>
      <c r="W10" s="312"/>
      <c r="X10" s="312"/>
      <c r="Y10" s="312"/>
      <c r="Z10" s="312"/>
      <c r="AA10" s="312"/>
      <c r="AB10" s="313"/>
      <c r="AC10" s="311" t="s">
        <v>34</v>
      </c>
      <c r="AD10" s="313"/>
      <c r="AE10" s="180"/>
    </row>
    <row r="11" spans="1:31" ht="77.25" customHeight="1">
      <c r="A11" s="79" t="s">
        <v>154</v>
      </c>
      <c r="B11" s="15" t="s">
        <v>39</v>
      </c>
      <c r="C11" s="60" t="s">
        <v>41</v>
      </c>
      <c r="D11" s="40" t="s">
        <v>37</v>
      </c>
      <c r="E11" s="40" t="s">
        <v>36</v>
      </c>
      <c r="F11" s="40" t="s">
        <v>35</v>
      </c>
      <c r="G11" s="128" t="s">
        <v>149</v>
      </c>
      <c r="H11" s="61" t="s">
        <v>38</v>
      </c>
      <c r="I11" s="38" t="s">
        <v>17</v>
      </c>
      <c r="J11" s="38" t="s">
        <v>16</v>
      </c>
      <c r="K11" s="38" t="s">
        <v>19</v>
      </c>
      <c r="L11" s="38" t="s">
        <v>15</v>
      </c>
      <c r="M11" s="38" t="s">
        <v>30</v>
      </c>
      <c r="N11" s="38" t="s">
        <v>20</v>
      </c>
      <c r="O11" s="38" t="s">
        <v>26</v>
      </c>
      <c r="P11" s="38" t="s">
        <v>141</v>
      </c>
      <c r="Q11" s="38" t="s">
        <v>21</v>
      </c>
      <c r="R11" s="38" t="s">
        <v>29</v>
      </c>
      <c r="S11" s="38" t="s">
        <v>27</v>
      </c>
      <c r="T11" s="38" t="s">
        <v>25</v>
      </c>
      <c r="U11" s="38" t="s">
        <v>18</v>
      </c>
      <c r="V11" s="38" t="s">
        <v>140</v>
      </c>
      <c r="W11" s="38" t="s">
        <v>22</v>
      </c>
      <c r="X11" s="38" t="s">
        <v>23</v>
      </c>
      <c r="Y11" s="38" t="s">
        <v>24</v>
      </c>
      <c r="Z11" s="38" t="s">
        <v>184</v>
      </c>
      <c r="AA11" s="38" t="s">
        <v>192</v>
      </c>
      <c r="AB11" s="38" t="s">
        <v>193</v>
      </c>
      <c r="AC11" s="15" t="s">
        <v>9</v>
      </c>
      <c r="AD11" s="19" t="s">
        <v>32</v>
      </c>
      <c r="AE11" s="20" t="s">
        <v>150</v>
      </c>
    </row>
    <row r="12" spans="1:31" ht="18" customHeight="1">
      <c r="A12" s="237"/>
      <c r="B12" s="259"/>
      <c r="C12" s="71" t="s">
        <v>199</v>
      </c>
      <c r="D12" s="37">
        <v>0.014583333333333332</v>
      </c>
      <c r="E12" s="37">
        <v>0.016296296296296295</v>
      </c>
      <c r="F12" s="37"/>
      <c r="G12" s="73">
        <v>0.001712962962962963</v>
      </c>
      <c r="H12" s="16">
        <v>1</v>
      </c>
      <c r="I12" s="39">
        <v>0</v>
      </c>
      <c r="J12" s="39">
        <v>5</v>
      </c>
      <c r="K12" s="39">
        <v>50</v>
      </c>
      <c r="L12" s="39">
        <v>0</v>
      </c>
      <c r="M12" s="39">
        <v>0</v>
      </c>
      <c r="N12" s="39">
        <v>0</v>
      </c>
      <c r="O12" s="39">
        <v>0</v>
      </c>
      <c r="P12" s="39">
        <v>50</v>
      </c>
      <c r="Q12" s="39">
        <v>0</v>
      </c>
      <c r="R12" s="39">
        <v>0</v>
      </c>
      <c r="S12" s="39">
        <v>50</v>
      </c>
      <c r="T12" s="39">
        <v>50</v>
      </c>
      <c r="U12" s="39">
        <v>5</v>
      </c>
      <c r="V12" s="39"/>
      <c r="W12" s="39"/>
      <c r="X12" s="39"/>
      <c r="Y12" s="39"/>
      <c r="Z12" s="39"/>
      <c r="AA12" s="39"/>
      <c r="AB12" s="39"/>
      <c r="AC12" s="16">
        <v>210</v>
      </c>
      <c r="AD12" s="7">
        <v>0.0024305555555555556</v>
      </c>
      <c r="AE12" s="6">
        <v>0.004143518518518519</v>
      </c>
    </row>
    <row r="13" spans="1:31" ht="15.75">
      <c r="A13" s="259"/>
      <c r="B13" s="259"/>
      <c r="C13" s="244" t="s">
        <v>203</v>
      </c>
      <c r="D13" s="245">
        <v>0.01875</v>
      </c>
      <c r="E13" s="245">
        <v>0.021770833333333336</v>
      </c>
      <c r="F13" s="245"/>
      <c r="G13" s="246">
        <v>0.003020833333333337</v>
      </c>
      <c r="H13" s="243">
        <v>2</v>
      </c>
      <c r="I13" s="247">
        <v>0</v>
      </c>
      <c r="J13" s="247">
        <v>0</v>
      </c>
      <c r="K13" s="247">
        <v>0</v>
      </c>
      <c r="L13" s="247">
        <v>0</v>
      </c>
      <c r="M13" s="247">
        <v>5</v>
      </c>
      <c r="N13" s="247">
        <v>0</v>
      </c>
      <c r="O13" s="247">
        <v>0</v>
      </c>
      <c r="P13" s="247">
        <v>50</v>
      </c>
      <c r="Q13" s="247">
        <v>5</v>
      </c>
      <c r="R13" s="247">
        <v>5</v>
      </c>
      <c r="S13" s="247">
        <v>50</v>
      </c>
      <c r="T13" s="247">
        <v>0</v>
      </c>
      <c r="U13" s="247">
        <v>0</v>
      </c>
      <c r="V13" s="247"/>
      <c r="W13" s="247"/>
      <c r="X13" s="247"/>
      <c r="Y13" s="247"/>
      <c r="Z13" s="247"/>
      <c r="AA13" s="247"/>
      <c r="AB13" s="247"/>
      <c r="AC13" s="243">
        <v>115</v>
      </c>
      <c r="AD13" s="248">
        <v>0.0013310185185185185</v>
      </c>
      <c r="AE13" s="249">
        <v>0.004351851851851856</v>
      </c>
    </row>
    <row r="14" spans="1:31" ht="15.75">
      <c r="A14" s="259"/>
      <c r="B14" s="237"/>
      <c r="C14" s="244" t="s">
        <v>201</v>
      </c>
      <c r="D14" s="245">
        <v>0.030555555555555555</v>
      </c>
      <c r="E14" s="245">
        <v>0.03238425925925926</v>
      </c>
      <c r="F14" s="245"/>
      <c r="G14" s="246">
        <v>0.001828703703703704</v>
      </c>
      <c r="H14" s="243">
        <v>1</v>
      </c>
      <c r="I14" s="247">
        <v>0</v>
      </c>
      <c r="J14" s="247">
        <v>5</v>
      </c>
      <c r="K14" s="247">
        <v>50</v>
      </c>
      <c r="L14" s="247">
        <v>0</v>
      </c>
      <c r="M14" s="247">
        <v>0</v>
      </c>
      <c r="N14" s="247">
        <v>50</v>
      </c>
      <c r="O14" s="247">
        <v>5</v>
      </c>
      <c r="P14" s="247">
        <v>50</v>
      </c>
      <c r="Q14" s="247">
        <v>0</v>
      </c>
      <c r="R14" s="247">
        <v>0</v>
      </c>
      <c r="S14" s="247">
        <v>50</v>
      </c>
      <c r="T14" s="247">
        <v>50</v>
      </c>
      <c r="U14" s="247">
        <v>5</v>
      </c>
      <c r="V14" s="247"/>
      <c r="W14" s="247"/>
      <c r="X14" s="247"/>
      <c r="Y14" s="247"/>
      <c r="Z14" s="247"/>
      <c r="AA14" s="247"/>
      <c r="AB14" s="247"/>
      <c r="AC14" s="243">
        <v>265</v>
      </c>
      <c r="AD14" s="248">
        <v>0.0030671296296296293</v>
      </c>
      <c r="AE14" s="249">
        <v>0.004895833333333334</v>
      </c>
    </row>
    <row r="15" spans="1:31" s="232" customFormat="1" ht="15.75">
      <c r="A15" s="183"/>
      <c r="B15" s="183"/>
      <c r="C15" s="244" t="s">
        <v>200</v>
      </c>
      <c r="D15" s="245">
        <v>0.0375</v>
      </c>
      <c r="E15" s="245">
        <v>0.0410300925925926</v>
      </c>
      <c r="F15" s="245"/>
      <c r="G15" s="246">
        <v>0.0035300925925925986</v>
      </c>
      <c r="H15" s="243">
        <v>2</v>
      </c>
      <c r="I15" s="247">
        <v>5</v>
      </c>
      <c r="J15" s="247">
        <v>0</v>
      </c>
      <c r="K15" s="247">
        <v>0</v>
      </c>
      <c r="L15" s="247">
        <v>0</v>
      </c>
      <c r="M15" s="247">
        <v>0</v>
      </c>
      <c r="N15" s="247">
        <v>5</v>
      </c>
      <c r="O15" s="247">
        <v>5</v>
      </c>
      <c r="P15" s="247">
        <v>50</v>
      </c>
      <c r="Q15" s="247">
        <v>50</v>
      </c>
      <c r="R15" s="247">
        <v>5</v>
      </c>
      <c r="S15" s="247">
        <v>5</v>
      </c>
      <c r="T15" s="247">
        <v>0</v>
      </c>
      <c r="U15" s="247">
        <v>5</v>
      </c>
      <c r="V15" s="247"/>
      <c r="W15" s="247"/>
      <c r="X15" s="247"/>
      <c r="Y15" s="247"/>
      <c r="Z15" s="247"/>
      <c r="AA15" s="247"/>
      <c r="AB15" s="247"/>
      <c r="AC15" s="243">
        <v>130</v>
      </c>
      <c r="AD15" s="248">
        <v>0.0015046296296296296</v>
      </c>
      <c r="AE15" s="249">
        <v>0.005034722222222229</v>
      </c>
    </row>
    <row r="16" spans="1:31" s="232" customFormat="1" ht="15.75">
      <c r="A16" s="258"/>
      <c r="B16" s="258"/>
      <c r="C16" s="71" t="s">
        <v>204</v>
      </c>
      <c r="D16" s="235">
        <v>0.0020833333333333333</v>
      </c>
      <c r="E16" s="235">
        <v>0.0043055555555555555</v>
      </c>
      <c r="F16" s="235"/>
      <c r="G16" s="73">
        <v>0.0022222222222222222</v>
      </c>
      <c r="H16" s="234">
        <v>1</v>
      </c>
      <c r="I16" s="39">
        <v>5</v>
      </c>
      <c r="J16" s="39">
        <v>5</v>
      </c>
      <c r="K16" s="39">
        <v>50</v>
      </c>
      <c r="L16" s="39">
        <v>0</v>
      </c>
      <c r="M16" s="39">
        <v>5</v>
      </c>
      <c r="N16" s="39">
        <v>50</v>
      </c>
      <c r="O16" s="39">
        <v>5</v>
      </c>
      <c r="P16" s="39">
        <v>50</v>
      </c>
      <c r="Q16" s="39">
        <v>0</v>
      </c>
      <c r="R16" s="39">
        <v>0</v>
      </c>
      <c r="S16" s="39">
        <v>50</v>
      </c>
      <c r="T16" s="39">
        <v>50</v>
      </c>
      <c r="U16" s="39">
        <v>0</v>
      </c>
      <c r="V16" s="39"/>
      <c r="W16" s="39"/>
      <c r="X16" s="39"/>
      <c r="Y16" s="39"/>
      <c r="Z16" s="39"/>
      <c r="AA16" s="39"/>
      <c r="AB16" s="39"/>
      <c r="AC16" s="234">
        <v>270</v>
      </c>
      <c r="AD16" s="7">
        <v>0.0031249999999999997</v>
      </c>
      <c r="AE16" s="6">
        <v>0.005347222222222222</v>
      </c>
    </row>
    <row r="17" spans="1:31" s="232" customFormat="1" ht="15.75">
      <c r="A17" s="183"/>
      <c r="B17" s="183"/>
      <c r="C17" s="244" t="s">
        <v>202</v>
      </c>
      <c r="D17" s="245">
        <v>0.025694444444444447</v>
      </c>
      <c r="E17" s="245">
        <v>0.02784722222222222</v>
      </c>
      <c r="F17" s="245"/>
      <c r="G17" s="246">
        <v>0.0021527777777777743</v>
      </c>
      <c r="H17" s="243">
        <v>2</v>
      </c>
      <c r="I17" s="247">
        <v>0</v>
      </c>
      <c r="J17" s="247">
        <v>5</v>
      </c>
      <c r="K17" s="247">
        <v>50</v>
      </c>
      <c r="L17" s="247">
        <v>5</v>
      </c>
      <c r="M17" s="247">
        <v>50</v>
      </c>
      <c r="N17" s="247">
        <v>5</v>
      </c>
      <c r="O17" s="247">
        <v>0</v>
      </c>
      <c r="P17" s="247">
        <v>50</v>
      </c>
      <c r="Q17" s="247">
        <v>5</v>
      </c>
      <c r="R17" s="247">
        <v>0</v>
      </c>
      <c r="S17" s="247">
        <v>50</v>
      </c>
      <c r="T17" s="247">
        <v>50</v>
      </c>
      <c r="U17" s="247">
        <v>50</v>
      </c>
      <c r="V17" s="247"/>
      <c r="W17" s="247"/>
      <c r="X17" s="247"/>
      <c r="Y17" s="247"/>
      <c r="Z17" s="247"/>
      <c r="AA17" s="247"/>
      <c r="AB17" s="247"/>
      <c r="AC17" s="243">
        <v>320</v>
      </c>
      <c r="AD17" s="248">
        <v>0.0037037037037037034</v>
      </c>
      <c r="AE17" s="249">
        <v>0.005856481481481478</v>
      </c>
    </row>
    <row r="18" spans="1:31" s="232" customFormat="1" ht="15.75">
      <c r="A18" s="260"/>
      <c r="B18" s="260"/>
      <c r="C18" s="72" t="s">
        <v>198</v>
      </c>
      <c r="D18" s="261">
        <v>0.004166666666666667</v>
      </c>
      <c r="E18" s="261">
        <v>0.007233796296296296</v>
      </c>
      <c r="F18" s="261"/>
      <c r="G18" s="262">
        <v>0.0030671296296296297</v>
      </c>
      <c r="H18" s="18">
        <v>1</v>
      </c>
      <c r="I18" s="263">
        <v>5</v>
      </c>
      <c r="J18" s="263">
        <v>0</v>
      </c>
      <c r="K18" s="263">
        <v>5</v>
      </c>
      <c r="L18" s="263">
        <v>0</v>
      </c>
      <c r="M18" s="263">
        <v>5</v>
      </c>
      <c r="N18" s="263">
        <v>5</v>
      </c>
      <c r="O18" s="263">
        <v>50</v>
      </c>
      <c r="P18" s="263">
        <v>50</v>
      </c>
      <c r="Q18" s="263">
        <v>5</v>
      </c>
      <c r="R18" s="263">
        <v>0</v>
      </c>
      <c r="S18" s="263">
        <v>50</v>
      </c>
      <c r="T18" s="263">
        <v>50</v>
      </c>
      <c r="U18" s="263">
        <v>50</v>
      </c>
      <c r="V18" s="263"/>
      <c r="W18" s="263"/>
      <c r="X18" s="263"/>
      <c r="Y18" s="263"/>
      <c r="Z18" s="263"/>
      <c r="AA18" s="263"/>
      <c r="AB18" s="263"/>
      <c r="AC18" s="18">
        <v>275</v>
      </c>
      <c r="AD18" s="17">
        <v>0.00318287037037037</v>
      </c>
      <c r="AE18" s="264">
        <v>0.00625</v>
      </c>
    </row>
    <row r="19" spans="1:31" s="232" customFormat="1" ht="15.75">
      <c r="A19" s="237"/>
      <c r="B19" s="75"/>
      <c r="C19" s="238"/>
      <c r="D19" s="239"/>
      <c r="E19" s="239"/>
      <c r="F19" s="239"/>
      <c r="G19" s="240"/>
      <c r="H19" s="75"/>
      <c r="I19" s="241"/>
      <c r="J19" s="241"/>
      <c r="K19" s="241"/>
      <c r="L19" s="241"/>
      <c r="M19" s="241"/>
      <c r="N19" s="241"/>
      <c r="O19" s="241"/>
      <c r="P19" s="241"/>
      <c r="Q19" s="241"/>
      <c r="R19" s="241"/>
      <c r="S19" s="241"/>
      <c r="T19" s="241"/>
      <c r="U19" s="241"/>
      <c r="V19" s="241"/>
      <c r="W19" s="241"/>
      <c r="X19" s="241"/>
      <c r="Y19" s="241"/>
      <c r="Z19" s="241"/>
      <c r="AA19" s="241"/>
      <c r="AB19" s="241"/>
      <c r="AC19" s="75"/>
      <c r="AD19" s="242"/>
      <c r="AE19" s="242"/>
    </row>
    <row r="20" spans="2:32" ht="15.75">
      <c r="B20" s="82" t="s">
        <v>7</v>
      </c>
      <c r="C20" s="82"/>
      <c r="D20" s="304"/>
      <c r="E20" s="304"/>
      <c r="G20" s="123"/>
      <c r="H20" s="10"/>
      <c r="I20" s="14"/>
      <c r="J20" s="236" t="s">
        <v>205</v>
      </c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</row>
    <row r="21" spans="2:32" ht="15.75">
      <c r="B21" s="82" t="s">
        <v>6</v>
      </c>
      <c r="C21" s="82"/>
      <c r="D21" s="179"/>
      <c r="E21" s="179"/>
      <c r="F21" s="11"/>
      <c r="G21" s="124"/>
      <c r="H21" s="11"/>
      <c r="I21" s="14"/>
      <c r="J21" s="12" t="s">
        <v>164</v>
      </c>
      <c r="K21" s="12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</row>
    <row r="22" spans="2:11" ht="15">
      <c r="B22" s="303">
        <v>43240</v>
      </c>
      <c r="C22" s="303"/>
      <c r="D22" s="304"/>
      <c r="E22" s="304"/>
      <c r="I22" s="14"/>
      <c r="J22" s="14"/>
      <c r="K22" s="14"/>
    </row>
  </sheetData>
  <sheetProtection/>
  <mergeCells count="19">
    <mergeCell ref="B22:C22"/>
    <mergeCell ref="D22:E22"/>
    <mergeCell ref="B5:C5"/>
    <mergeCell ref="D5:AE5"/>
    <mergeCell ref="B6:C6"/>
    <mergeCell ref="D6:AE6"/>
    <mergeCell ref="B7:C7"/>
    <mergeCell ref="D7:AE7"/>
    <mergeCell ref="B9:AE9"/>
    <mergeCell ref="B10:G10"/>
    <mergeCell ref="I10:AB10"/>
    <mergeCell ref="AC10:AD10"/>
    <mergeCell ref="D20:E20"/>
    <mergeCell ref="B1:C2"/>
    <mergeCell ref="D1:AE2"/>
    <mergeCell ref="B3:C3"/>
    <mergeCell ref="D3:AE3"/>
    <mergeCell ref="B4:C4"/>
    <mergeCell ref="D4:AE4"/>
  </mergeCells>
  <dataValidations count="3">
    <dataValidation type="time" operator="greaterThanOrEqual" allowBlank="1" showInputMessage="1" showErrorMessage="1" sqref="G12:G19 D12:E19">
      <formula1>0</formula1>
    </dataValidation>
    <dataValidation type="list" allowBlank="1" showInputMessage="1" showErrorMessage="1" sqref="D4">
      <formula1>дисциплины</formula1>
    </dataValidation>
    <dataValidation type="whole" operator="greaterThan" allowBlank="1" showErrorMessage="1" errorTitle="Внимание!" error="Данные в этой ячейке должны быть целым числом без любых дополнительных знаков." sqref="B19">
      <formula1>0</formula1>
    </dataValidation>
  </dataValidations>
  <printOptions/>
  <pageMargins left="0.5905511811023623" right="0.5905511811023623" top="0.5905511811023623" bottom="0.5905511811023623" header="0" footer="0"/>
  <pageSetup fitToHeight="1" fitToWidth="1" horizontalDpi="300" verticalDpi="300" orientation="landscape" paperSize="9" scale="87" r:id="rId4"/>
  <legacyDrawing r:id="rId2"/>
  <tableParts>
    <tablePart r:id="rId3"/>
  </tablePart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Z43"/>
  <sheetViews>
    <sheetView zoomScalePageLayoutView="0" workbookViewId="0" topLeftCell="A1">
      <selection activeCell="D4" sqref="D4:L4"/>
    </sheetView>
  </sheetViews>
  <sheetFormatPr defaultColWidth="9.140625" defaultRowHeight="15" outlineLevelCol="1"/>
  <cols>
    <col min="1" max="1" width="11.7109375" style="111" customWidth="1" outlineLevel="1"/>
    <col min="2" max="2" width="7.8515625" style="111" customWidth="1"/>
    <col min="3" max="3" width="38.57421875" style="111" customWidth="1"/>
    <col min="4" max="5" width="11.7109375" style="111" customWidth="1"/>
    <col min="6" max="6" width="10.00390625" style="111" customWidth="1"/>
    <col min="7" max="7" width="12.00390625" style="4" customWidth="1"/>
    <col min="8" max="8" width="12.421875" style="111" hidden="1" customWidth="1" outlineLevel="1"/>
    <col min="9" max="9" width="12.7109375" style="111" hidden="1" customWidth="1" outlineLevel="1" collapsed="1"/>
    <col min="10" max="10" width="12.7109375" style="111" hidden="1" customWidth="1" outlineLevel="1"/>
    <col min="11" max="11" width="12.7109375" style="111" hidden="1" customWidth="1" outlineLevel="1" collapsed="1"/>
    <col min="12" max="12" width="28.00390625" style="111" customWidth="1" collapsed="1"/>
    <col min="13" max="13" width="9.140625" style="111" hidden="1" customWidth="1" outlineLevel="1" collapsed="1"/>
    <col min="14" max="14" width="9.140625" style="111" customWidth="1" collapsed="1"/>
    <col min="15" max="16384" width="9.140625" style="111" customWidth="1"/>
  </cols>
  <sheetData>
    <row r="1" spans="1:14" ht="33.75" customHeight="1">
      <c r="A1" s="87"/>
      <c r="B1" s="314"/>
      <c r="C1" s="315"/>
      <c r="D1" s="289" t="s">
        <v>209</v>
      </c>
      <c r="E1" s="290"/>
      <c r="F1" s="290"/>
      <c r="G1" s="290"/>
      <c r="H1" s="290"/>
      <c r="I1" s="290"/>
      <c r="J1" s="290"/>
      <c r="K1" s="290"/>
      <c r="L1" s="291"/>
      <c r="N1" s="97"/>
    </row>
    <row r="2" spans="1:14" ht="57.75" customHeight="1">
      <c r="A2" s="88"/>
      <c r="B2" s="316"/>
      <c r="C2" s="317"/>
      <c r="D2" s="292"/>
      <c r="E2" s="293"/>
      <c r="F2" s="293"/>
      <c r="G2" s="293"/>
      <c r="H2" s="293"/>
      <c r="I2" s="293"/>
      <c r="J2" s="293"/>
      <c r="K2" s="293"/>
      <c r="L2" s="294"/>
      <c r="N2" s="97"/>
    </row>
    <row r="3" spans="2:26" ht="40.5" customHeight="1">
      <c r="B3" s="295" t="s">
        <v>1</v>
      </c>
      <c r="C3" s="296"/>
      <c r="D3" s="327" t="s">
        <v>206</v>
      </c>
      <c r="E3" s="328"/>
      <c r="F3" s="328"/>
      <c r="G3" s="328"/>
      <c r="H3" s="328"/>
      <c r="I3" s="328"/>
      <c r="J3" s="328"/>
      <c r="K3" s="328"/>
      <c r="L3" s="328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203"/>
      <c r="Z3" s="265"/>
    </row>
    <row r="4" spans="2:14" ht="15.75" customHeight="1">
      <c r="B4" s="298" t="s">
        <v>2</v>
      </c>
      <c r="C4" s="299"/>
      <c r="D4" s="300" t="s">
        <v>191</v>
      </c>
      <c r="E4" s="301"/>
      <c r="F4" s="301"/>
      <c r="G4" s="301"/>
      <c r="H4" s="301"/>
      <c r="I4" s="301"/>
      <c r="J4" s="301"/>
      <c r="K4" s="301"/>
      <c r="L4" s="302"/>
      <c r="N4" s="97"/>
    </row>
    <row r="5" spans="2:14" ht="15.75">
      <c r="B5" s="298" t="s">
        <v>3</v>
      </c>
      <c r="C5" s="299"/>
      <c r="D5" s="322"/>
      <c r="E5" s="323"/>
      <c r="F5" s="323"/>
      <c r="G5" s="323"/>
      <c r="H5" s="323"/>
      <c r="I5" s="323"/>
      <c r="J5" s="323"/>
      <c r="K5" s="323"/>
      <c r="L5" s="324"/>
      <c r="N5" s="97"/>
    </row>
    <row r="6" spans="2:14" ht="15.75" customHeight="1">
      <c r="B6" s="298" t="s">
        <v>4</v>
      </c>
      <c r="C6" s="299"/>
      <c r="D6" s="318"/>
      <c r="E6" s="319"/>
      <c r="F6" s="319"/>
      <c r="G6" s="319"/>
      <c r="H6" s="319"/>
      <c r="I6" s="319"/>
      <c r="J6" s="319"/>
      <c r="K6" s="319"/>
      <c r="L6" s="320"/>
      <c r="N6" s="97"/>
    </row>
    <row r="7" spans="2:14" ht="16.5" customHeight="1">
      <c r="B7" s="298" t="s">
        <v>5</v>
      </c>
      <c r="C7" s="299"/>
      <c r="D7" s="318"/>
      <c r="E7" s="319"/>
      <c r="F7" s="319"/>
      <c r="G7" s="319"/>
      <c r="H7" s="319"/>
      <c r="I7" s="319"/>
      <c r="J7" s="319"/>
      <c r="K7" s="319"/>
      <c r="L7" s="320"/>
      <c r="N7" s="97"/>
    </row>
    <row r="8" spans="1:12" ht="15.75" hidden="1">
      <c r="A8" s="13"/>
      <c r="B8" s="13"/>
      <c r="C8" s="13"/>
      <c r="D8" s="13"/>
      <c r="E8" s="13"/>
      <c r="F8" s="13"/>
      <c r="G8" s="13"/>
      <c r="H8" s="13"/>
      <c r="I8" s="13"/>
      <c r="J8" s="23"/>
      <c r="K8" s="23"/>
      <c r="L8" s="1"/>
    </row>
    <row r="9" spans="1:12" ht="15">
      <c r="A9" s="1"/>
      <c r="B9" s="1"/>
      <c r="C9" s="1"/>
      <c r="D9" s="1"/>
      <c r="E9" s="1"/>
      <c r="F9" s="1"/>
      <c r="G9" s="2"/>
      <c r="H9" s="1"/>
      <c r="I9" s="1"/>
      <c r="J9" s="1"/>
      <c r="K9" s="1"/>
      <c r="L9" s="1"/>
    </row>
    <row r="10" spans="1:12" ht="15.75">
      <c r="A10" s="307" t="s">
        <v>42</v>
      </c>
      <c r="B10" s="307"/>
      <c r="C10" s="307"/>
      <c r="D10" s="307"/>
      <c r="E10" s="307"/>
      <c r="F10" s="307"/>
      <c r="G10" s="307"/>
      <c r="H10" s="307"/>
      <c r="I10" s="307"/>
      <c r="J10" s="307"/>
      <c r="K10" s="307"/>
      <c r="L10" s="307"/>
    </row>
    <row r="11" spans="1:13" ht="45">
      <c r="A11" s="79" t="s">
        <v>33</v>
      </c>
      <c r="B11" s="167" t="s">
        <v>39</v>
      </c>
      <c r="C11" s="153" t="s">
        <v>41</v>
      </c>
      <c r="D11" s="155" t="s">
        <v>143</v>
      </c>
      <c r="E11" s="155" t="s">
        <v>144</v>
      </c>
      <c r="F11" s="158" t="s">
        <v>40</v>
      </c>
      <c r="G11" s="159" t="s">
        <v>0</v>
      </c>
      <c r="H11" s="69" t="s">
        <v>46</v>
      </c>
      <c r="I11" s="15" t="s">
        <v>45</v>
      </c>
      <c r="J11" s="15" t="s">
        <v>64</v>
      </c>
      <c r="K11" s="15" t="s">
        <v>59</v>
      </c>
      <c r="L11" s="70" t="s">
        <v>8</v>
      </c>
      <c r="M11" s="99" t="s">
        <v>161</v>
      </c>
    </row>
    <row r="12" spans="1:13" s="232" customFormat="1" ht="15.75">
      <c r="A12" s="183"/>
      <c r="B12" s="266"/>
      <c r="C12" s="267" t="s">
        <v>199</v>
      </c>
      <c r="D12" s="268">
        <v>0.003402777777777778</v>
      </c>
      <c r="E12" s="268">
        <v>0.004143518518518519</v>
      </c>
      <c r="F12" s="269">
        <v>0.003402777777777778</v>
      </c>
      <c r="G12" s="270">
        <v>1</v>
      </c>
      <c r="H12" s="271" t="e">
        <f>HLOOKUP(ВидДистанции,ТаблицаБаллов,MATCH(LEFT('Р-СМ-итог'!$G12,2)*1,ЗанятоеМесто,0),0)</f>
        <v>#REF!</v>
      </c>
      <c r="I12" s="272">
        <f>100*'Р-СМ-итог'!$F12/MIN('Р-СМ-итог'!$F$12:$F$18)</f>
        <v>100</v>
      </c>
      <c r="J12" s="273" t="e">
        <f>'Р-СМ-итог'!$G12&lt;=VLOOKUP(#REF!,т_вид_участия,2,0)</f>
        <v>#REF!</v>
      </c>
      <c r="K12" s="274" t="e">
        <f>IF('Р-СМ-итог'!$J12=FALSE,0,VLOOKUP('Р-СМ-итог'!$A12,#REF!,COLUMN(#REF!),0))</f>
        <v>#REF!</v>
      </c>
      <c r="L12" s="275"/>
      <c r="M12" s="276">
        <f>'Р-СМ-итог'!$F12</f>
        <v>0.003402777777777778</v>
      </c>
    </row>
    <row r="13" spans="1:13" s="232" customFormat="1" ht="15.75">
      <c r="A13" s="183"/>
      <c r="B13" s="266"/>
      <c r="C13" s="267" t="s">
        <v>203</v>
      </c>
      <c r="D13" s="268">
        <v>0.00542824074074074</v>
      </c>
      <c r="E13" s="268">
        <v>0.004351851851851856</v>
      </c>
      <c r="F13" s="269">
        <v>0.004351851851851856</v>
      </c>
      <c r="G13" s="270">
        <v>2</v>
      </c>
      <c r="H13" s="271" t="e">
        <f>HLOOKUP(ВидДистанции,ТаблицаБаллов,MATCH(LEFT('Р-СМ-итог'!$G13,2)*1,ЗанятоеМесто,0),0)</f>
        <v>#REF!</v>
      </c>
      <c r="I13" s="272">
        <f>100*'Р-СМ-итог'!$F13/MIN('Р-СМ-итог'!$F$12:$F$18)</f>
        <v>127.89115646258513</v>
      </c>
      <c r="J13" s="273" t="e">
        <f>'Р-СМ-итог'!$G13&lt;=VLOOKUP(#REF!,т_вид_участия,2,0)</f>
        <v>#REF!</v>
      </c>
      <c r="K13" s="274" t="e">
        <f>IF('Р-СМ-итог'!$J13=FALSE,0,VLOOKUP('Р-СМ-итог'!$A13,#REF!,COLUMN(#REF!),0))</f>
        <v>#REF!</v>
      </c>
      <c r="L13" s="275"/>
      <c r="M13" s="276">
        <f>'Р-СМ-итог'!$F13</f>
        <v>0.004351851851851856</v>
      </c>
    </row>
    <row r="14" spans="1:13" s="232" customFormat="1" ht="15.75">
      <c r="A14" s="183"/>
      <c r="B14" s="266"/>
      <c r="C14" s="267" t="s">
        <v>201</v>
      </c>
      <c r="D14" s="268">
        <v>0.0066203703703703685</v>
      </c>
      <c r="E14" s="268">
        <v>0.004895833333333334</v>
      </c>
      <c r="F14" s="269">
        <v>0.004895833333333334</v>
      </c>
      <c r="G14" s="270">
        <v>3</v>
      </c>
      <c r="H14" s="271" t="e">
        <f>HLOOKUP(ВидДистанции,ТаблицаБаллов,MATCH(LEFT('Р-СМ-итог'!$G14,2)*1,ЗанятоеМесто,0),0)</f>
        <v>#REF!</v>
      </c>
      <c r="I14" s="272">
        <f>100*'Р-СМ-итог'!$F14/MIN('Р-СМ-итог'!$F$12:$F$18)</f>
        <v>143.87755102040816</v>
      </c>
      <c r="J14" s="273" t="e">
        <f>'Р-СМ-итог'!$G14&lt;=VLOOKUP(#REF!,т_вид_участия,2,0)</f>
        <v>#REF!</v>
      </c>
      <c r="K14" s="274" t="e">
        <f>IF('Р-СМ-итог'!$J14=FALSE,0,VLOOKUP('Р-СМ-итог'!$A14,#REF!,COLUMN(#REF!),0))</f>
        <v>#REF!</v>
      </c>
      <c r="L14" s="275"/>
      <c r="M14" s="276">
        <f>'Р-СМ-итог'!$F14</f>
        <v>0.004895833333333334</v>
      </c>
    </row>
    <row r="15" spans="1:13" s="232" customFormat="1" ht="15.75">
      <c r="A15" s="183"/>
      <c r="B15" s="266"/>
      <c r="C15" s="267" t="s">
        <v>207</v>
      </c>
      <c r="D15" s="268">
        <v>0.004988425925925927</v>
      </c>
      <c r="E15" s="268">
        <v>0.005034722222222229</v>
      </c>
      <c r="F15" s="269">
        <v>0.004988425925925927</v>
      </c>
      <c r="G15" s="270">
        <v>4</v>
      </c>
      <c r="H15" s="271" t="e">
        <f>HLOOKUP(ВидДистанции,ТаблицаБаллов,MATCH(LEFT('Р-СМ-итог'!$G15,2)*1,ЗанятоеМесто,0),0)</f>
        <v>#REF!</v>
      </c>
      <c r="I15" s="272">
        <f>100*'Р-СМ-итог'!$F15/MIN('Р-СМ-итог'!$F$12:$F$18)</f>
        <v>146.59863945578235</v>
      </c>
      <c r="J15" s="273" t="e">
        <f>'Р-СМ-итог'!$G15&lt;=VLOOKUP(#REF!,т_вид_участия,2,0)</f>
        <v>#REF!</v>
      </c>
      <c r="K15" s="274" t="e">
        <f>IF('Р-СМ-итог'!$J15=FALSE,0,VLOOKUP('Р-СМ-итог'!$A15,#REF!,COLUMN(#REF!),0))</f>
        <v>#REF!</v>
      </c>
      <c r="L15" s="275"/>
      <c r="M15" s="276">
        <f>'Р-СМ-итог'!$F15</f>
        <v>0.004988425925925927</v>
      </c>
    </row>
    <row r="16" spans="1:13" s="232" customFormat="1" ht="15.75">
      <c r="A16" s="183"/>
      <c r="B16" s="266"/>
      <c r="C16" s="267" t="s">
        <v>200</v>
      </c>
      <c r="D16" s="268">
        <v>0.005092592592592588</v>
      </c>
      <c r="E16" s="268">
        <v>0.005347222222222222</v>
      </c>
      <c r="F16" s="269">
        <v>0.005092592592592588</v>
      </c>
      <c r="G16" s="270">
        <v>5</v>
      </c>
      <c r="H16" s="271" t="e">
        <f>HLOOKUP(ВидДистанции,ТаблицаБаллов,MATCH(LEFT('Р-СМ-итог'!$G16,2)*1,ЗанятоеМесто,0),0)</f>
        <v>#REF!</v>
      </c>
      <c r="I16" s="272">
        <f>100*'Р-СМ-итог'!$F16/MIN('Р-СМ-итог'!$F$12:$F$18)</f>
        <v>149.65986394557808</v>
      </c>
      <c r="J16" s="273" t="e">
        <f>'Р-СМ-итог'!$G16&lt;=VLOOKUP(#REF!,т_вид_участия,2,0)</f>
        <v>#REF!</v>
      </c>
      <c r="K16" s="274" t="e">
        <f>IF('Р-СМ-итог'!$J16=FALSE,0,VLOOKUP('Р-СМ-итог'!$A16,#REF!,COLUMN(#REF!),0))</f>
        <v>#REF!</v>
      </c>
      <c r="L16" s="275"/>
      <c r="M16" s="276">
        <f>'Р-СМ-итог'!$F16</f>
        <v>0.005092592592592588</v>
      </c>
    </row>
    <row r="17" spans="1:13" s="232" customFormat="1" ht="15.75">
      <c r="A17" s="183"/>
      <c r="B17" s="266"/>
      <c r="C17" s="267" t="s">
        <v>204</v>
      </c>
      <c r="D17" s="268">
        <v>0.008333333333333333</v>
      </c>
      <c r="E17" s="268">
        <v>0.005856481481481478</v>
      </c>
      <c r="F17" s="269">
        <v>0.005856481481481478</v>
      </c>
      <c r="G17" s="270">
        <v>6</v>
      </c>
      <c r="H17" s="271" t="e">
        <f>HLOOKUP(ВидДистанции,ТаблицаБаллов,MATCH(LEFT('Р-СМ-итог'!$G17,2)*1,ЗанятоеМесто,0),0)</f>
        <v>#REF!</v>
      </c>
      <c r="I17" s="272">
        <f>100*'Р-СМ-итог'!$F17/MIN('Р-СМ-итог'!$F$12:$F$18)</f>
        <v>172.10884353741486</v>
      </c>
      <c r="J17" s="273" t="e">
        <f>'Р-СМ-итог'!$G17&lt;=VLOOKUP(#REF!,т_вид_участия,2,0)</f>
        <v>#REF!</v>
      </c>
      <c r="K17" s="274" t="e">
        <f>IF('Р-СМ-итог'!$J17=FALSE,0,VLOOKUP('Р-СМ-итог'!$A17,#REF!,COLUMN(#REF!),0))</f>
        <v>#REF!</v>
      </c>
      <c r="L17" s="275"/>
      <c r="M17" s="276">
        <f>'Р-СМ-итог'!$F17</f>
        <v>0.005856481481481478</v>
      </c>
    </row>
    <row r="18" spans="1:13" s="232" customFormat="1" ht="15.75">
      <c r="A18" s="250"/>
      <c r="B18" s="278"/>
      <c r="C18" s="279" t="s">
        <v>202</v>
      </c>
      <c r="D18" s="280">
        <v>0.008900462962962962</v>
      </c>
      <c r="E18" s="280">
        <v>0.00625</v>
      </c>
      <c r="F18" s="281">
        <v>0.00625</v>
      </c>
      <c r="G18" s="277">
        <v>7</v>
      </c>
      <c r="H18" s="282" t="e">
        <f>HLOOKUP(ВидДистанции,ТаблицаБаллов,MATCH(LEFT('Р-СМ-итог'!$G18,2)*1,ЗанятоеМесто,0),0)</f>
        <v>#REF!</v>
      </c>
      <c r="I18" s="283">
        <f>100*'Р-СМ-итог'!$F18/MIN('Р-СМ-итог'!$F$12:$F$18)</f>
        <v>183.6734693877551</v>
      </c>
      <c r="J18" s="284" t="e">
        <f>'Р-СМ-итог'!$G18&lt;=VLOOKUP(#REF!,т_вид_участия,2,0)</f>
        <v>#REF!</v>
      </c>
      <c r="K18" s="285" t="e">
        <f>IF('Р-СМ-итог'!$J18=FALSE,0,VLOOKUP('Р-СМ-итог'!$A18,#REF!,COLUMN(#REF!),0))</f>
        <v>#REF!</v>
      </c>
      <c r="L18" s="286"/>
      <c r="M18" s="287">
        <f>'Р-СМ-итог'!$F18</f>
        <v>0.00625</v>
      </c>
    </row>
    <row r="19" spans="1:11" ht="18" customHeight="1">
      <c r="A19" s="25"/>
      <c r="B19" s="25"/>
      <c r="C19" s="25"/>
      <c r="D19" s="25"/>
      <c r="E19" s="25"/>
      <c r="F19" s="3"/>
      <c r="G19" s="5"/>
      <c r="H19" s="3"/>
      <c r="I19" s="1"/>
      <c r="J19" s="1"/>
      <c r="K19" s="1"/>
    </row>
    <row r="20" spans="1:8" ht="15.75">
      <c r="A20" s="326" t="s">
        <v>7</v>
      </c>
      <c r="B20" s="326"/>
      <c r="C20" s="326"/>
      <c r="D20" s="304"/>
      <c r="E20" s="304"/>
      <c r="F20" s="236" t="s">
        <v>205</v>
      </c>
      <c r="G20" s="179"/>
      <c r="H20" s="14"/>
    </row>
    <row r="21" spans="1:8" ht="15.75">
      <c r="A21" s="326" t="s">
        <v>6</v>
      </c>
      <c r="B21" s="326"/>
      <c r="C21" s="326"/>
      <c r="D21" s="179"/>
      <c r="E21" s="179"/>
      <c r="F21" s="233" t="s">
        <v>164</v>
      </c>
      <c r="G21" s="179"/>
      <c r="H21" s="14"/>
    </row>
    <row r="22" spans="1:8" ht="15">
      <c r="A22" s="303">
        <v>43240</v>
      </c>
      <c r="B22" s="303"/>
      <c r="C22" s="303"/>
      <c r="D22" s="304"/>
      <c r="E22" s="304"/>
      <c r="F22" s="14"/>
      <c r="G22" s="179"/>
      <c r="H22" s="14"/>
    </row>
    <row r="23" spans="1:8" ht="15">
      <c r="A23" s="14"/>
      <c r="B23" s="14"/>
      <c r="C23" s="14"/>
      <c r="D23" s="14"/>
      <c r="E23" s="14"/>
      <c r="F23" s="14"/>
      <c r="G23" s="179"/>
      <c r="H23" s="14"/>
    </row>
    <row r="24" spans="1:8" ht="15">
      <c r="A24" s="14"/>
      <c r="B24" s="14"/>
      <c r="C24" s="14"/>
      <c r="D24" s="14"/>
      <c r="E24" s="14"/>
      <c r="F24" s="14"/>
      <c r="G24" s="179"/>
      <c r="H24" s="14"/>
    </row>
    <row r="25" spans="1:8" ht="15">
      <c r="A25" s="14"/>
      <c r="B25" s="14"/>
      <c r="F25" s="14"/>
      <c r="G25" s="179"/>
      <c r="H25" s="14"/>
    </row>
    <row r="26" spans="1:8" ht="15">
      <c r="A26" s="179"/>
      <c r="B26" s="179"/>
      <c r="F26" s="179"/>
      <c r="G26" s="179"/>
      <c r="H26" s="14"/>
    </row>
    <row r="27" spans="1:8" ht="15">
      <c r="A27" s="14"/>
      <c r="B27" s="14"/>
      <c r="C27" s="14"/>
      <c r="D27" s="14"/>
      <c r="E27" s="14"/>
      <c r="F27" s="14"/>
      <c r="G27" s="179"/>
      <c r="H27" s="14"/>
    </row>
    <row r="28" spans="1:8" ht="15">
      <c r="A28" s="14"/>
      <c r="B28" s="14"/>
      <c r="F28" s="14"/>
      <c r="G28" s="179"/>
      <c r="H28" s="14"/>
    </row>
    <row r="29" spans="1:13" ht="15">
      <c r="A29" s="14"/>
      <c r="B29" s="14"/>
      <c r="F29" s="14"/>
      <c r="G29" s="179"/>
      <c r="H29" s="14"/>
      <c r="I29" s="14"/>
      <c r="J29" s="14"/>
      <c r="K29" s="14"/>
      <c r="L29" s="14"/>
      <c r="M29" s="14"/>
    </row>
    <row r="30" spans="1:13" ht="15">
      <c r="A30" s="14"/>
      <c r="B30" s="14"/>
      <c r="F30" s="14"/>
      <c r="G30" s="179"/>
      <c r="H30" s="14"/>
      <c r="I30" s="14"/>
      <c r="J30" s="14"/>
      <c r="K30" s="14"/>
      <c r="L30" s="14"/>
      <c r="M30" s="14"/>
    </row>
    <row r="31" spans="1:13" ht="15">
      <c r="A31" s="14"/>
      <c r="B31" s="14"/>
      <c r="F31" s="14"/>
      <c r="G31" s="179"/>
      <c r="H31" s="14"/>
      <c r="I31" s="14"/>
      <c r="J31" s="14"/>
      <c r="K31" s="14"/>
      <c r="L31" s="14"/>
      <c r="M31" s="14"/>
    </row>
    <row r="32" spans="1:13" ht="15">
      <c r="A32" s="14"/>
      <c r="B32" s="14"/>
      <c r="F32" s="14"/>
      <c r="G32" s="179"/>
      <c r="H32" s="14"/>
      <c r="I32" s="14"/>
      <c r="J32" s="14"/>
      <c r="K32" s="14"/>
      <c r="L32" s="14"/>
      <c r="M32" s="14"/>
    </row>
    <row r="33" spans="1:13" ht="15">
      <c r="A33" s="14"/>
      <c r="B33" s="14"/>
      <c r="F33" s="14"/>
      <c r="G33" s="179"/>
      <c r="H33" s="14"/>
      <c r="I33" s="14"/>
      <c r="J33" s="14"/>
      <c r="K33" s="14"/>
      <c r="L33" s="14"/>
      <c r="M33" s="14"/>
    </row>
    <row r="34" spans="1:13" ht="15">
      <c r="A34" s="14"/>
      <c r="B34" s="14"/>
      <c r="F34" s="9"/>
      <c r="G34" s="179"/>
      <c r="H34" s="14"/>
      <c r="I34" s="14"/>
      <c r="J34" s="14"/>
      <c r="K34" s="14"/>
      <c r="L34" s="14"/>
      <c r="M34" s="14"/>
    </row>
    <row r="35" spans="6:13" ht="15">
      <c r="F35" s="14"/>
      <c r="G35" s="179"/>
      <c r="H35" s="14"/>
      <c r="I35" s="14"/>
      <c r="J35" s="14"/>
      <c r="K35" s="14"/>
      <c r="L35" s="14"/>
      <c r="M35" s="14"/>
    </row>
    <row r="36" spans="5:13" ht="15">
      <c r="E36" s="14"/>
      <c r="F36" s="14"/>
      <c r="G36" s="179"/>
      <c r="H36" s="14"/>
      <c r="I36" s="14"/>
      <c r="J36" s="14"/>
      <c r="K36" s="14"/>
      <c r="L36" s="14"/>
      <c r="M36" s="14"/>
    </row>
    <row r="37" spans="5:13" ht="15">
      <c r="E37" s="14"/>
      <c r="F37" s="14"/>
      <c r="G37" s="179"/>
      <c r="H37" s="14"/>
      <c r="I37" s="14"/>
      <c r="J37" s="14"/>
      <c r="K37" s="14"/>
      <c r="L37" s="14"/>
      <c r="M37" s="14"/>
    </row>
    <row r="38" spans="5:13" ht="15">
      <c r="E38" s="14"/>
      <c r="F38" s="14"/>
      <c r="G38" s="179"/>
      <c r="H38" s="14"/>
      <c r="I38" s="14"/>
      <c r="J38" s="14"/>
      <c r="K38" s="14"/>
      <c r="L38" s="14"/>
      <c r="M38" s="14"/>
    </row>
    <row r="39" spans="5:13" ht="15">
      <c r="E39" s="14"/>
      <c r="F39" s="14"/>
      <c r="G39" s="179"/>
      <c r="H39" s="14"/>
      <c r="I39" s="14"/>
      <c r="J39" s="14"/>
      <c r="K39" s="14"/>
      <c r="L39" s="14"/>
      <c r="M39" s="14"/>
    </row>
    <row r="40" spans="5:13" ht="15">
      <c r="E40" s="14"/>
      <c r="F40" s="14"/>
      <c r="G40" s="179"/>
      <c r="H40" s="14"/>
      <c r="I40" s="14"/>
      <c r="J40" s="14"/>
      <c r="K40" s="14"/>
      <c r="L40" s="14"/>
      <c r="M40" s="14"/>
    </row>
    <row r="41" spans="5:13" ht="15">
      <c r="E41" s="14"/>
      <c r="F41" s="14"/>
      <c r="G41" s="179"/>
      <c r="H41" s="14"/>
      <c r="I41" s="14"/>
      <c r="J41" s="14"/>
      <c r="K41" s="14"/>
      <c r="L41" s="14"/>
      <c r="M41" s="14"/>
    </row>
    <row r="42" spans="6:13" ht="15">
      <c r="F42" s="14"/>
      <c r="G42" s="179"/>
      <c r="H42" s="14"/>
      <c r="I42" s="14"/>
      <c r="J42" s="14"/>
      <c r="K42" s="14"/>
      <c r="L42" s="14"/>
      <c r="M42" s="14"/>
    </row>
    <row r="43" spans="6:13" ht="15">
      <c r="F43" s="14"/>
      <c r="G43" s="179"/>
      <c r="H43" s="14"/>
      <c r="I43" s="14"/>
      <c r="J43" s="14"/>
      <c r="K43" s="14"/>
      <c r="L43" s="14"/>
      <c r="M43" s="14"/>
    </row>
  </sheetData>
  <sheetProtection/>
  <mergeCells count="18">
    <mergeCell ref="A10:L10"/>
    <mergeCell ref="A20:C20"/>
    <mergeCell ref="D20:E20"/>
    <mergeCell ref="A21:C21"/>
    <mergeCell ref="A22:C22"/>
    <mergeCell ref="D22:E22"/>
    <mergeCell ref="B5:C5"/>
    <mergeCell ref="D5:L5"/>
    <mergeCell ref="B6:C6"/>
    <mergeCell ref="D6:L6"/>
    <mergeCell ref="B7:C7"/>
    <mergeCell ref="D7:L7"/>
    <mergeCell ref="B1:C2"/>
    <mergeCell ref="D1:L2"/>
    <mergeCell ref="B3:C3"/>
    <mergeCell ref="D3:L3"/>
    <mergeCell ref="B4:C4"/>
    <mergeCell ref="D4:L4"/>
  </mergeCells>
  <dataValidations count="4">
    <dataValidation type="whole" operator="greaterThan" allowBlank="1" showErrorMessage="1" errorTitle="Внимание!" error="Данные в этой ячейке должны быть целым числом без любых дополнительных знаков." sqref="B12:B18">
      <formula1>0</formula1>
    </dataValidation>
    <dataValidation type="list" allowBlank="1" showInputMessage="1" showErrorMessage="1" sqref="D4">
      <formula1>дисциплины</formula1>
    </dataValidation>
    <dataValidation errorStyle="information" type="time" operator="greaterThanOrEqual" allowBlank="1" errorTitle="сообщениеаа" sqref="D12:D18">
      <formula1>0</formula1>
    </dataValidation>
    <dataValidation type="time" operator="greaterThanOrEqual" allowBlank="1" showInputMessage="1" sqref="E12:E18">
      <formula1>0</formula1>
    </dataValidation>
  </dataValidations>
  <printOptions/>
  <pageMargins left="0.5905511811023623" right="0.5905511811023623" top="0.5905511811023623" bottom="0.5905511811023623" header="0" footer="0"/>
  <pageSetup fitToHeight="1" fitToWidth="1" horizontalDpi="300" verticalDpi="300" orientation="landscape" paperSize="9" scale="98" r:id="rId4"/>
  <legacyDrawing r:id="rId2"/>
  <tableParts>
    <tablePart r:id="rId3"/>
  </tablePart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S36"/>
  <sheetViews>
    <sheetView zoomScalePageLayoutView="0" workbookViewId="0" topLeftCell="A1">
      <selection activeCell="AI11" sqref="AI11"/>
    </sheetView>
  </sheetViews>
  <sheetFormatPr defaultColWidth="9.140625" defaultRowHeight="15"/>
  <cols>
    <col min="1" max="1" width="10.28125" style="14" customWidth="1"/>
    <col min="2" max="2" width="7.8515625" style="14" customWidth="1"/>
    <col min="3" max="3" width="11.421875" style="14" customWidth="1"/>
    <col min="4" max="5" width="11.7109375" style="14" customWidth="1"/>
    <col min="6" max="6" width="10.00390625" style="14" customWidth="1"/>
    <col min="7" max="7" width="12.00390625" style="179" customWidth="1"/>
    <col min="8" max="8" width="12.421875" style="14" customWidth="1"/>
    <col min="9" max="9" width="12.7109375" style="14" customWidth="1" collapsed="1"/>
    <col min="10" max="10" width="12.7109375" style="14" customWidth="1"/>
    <col min="11" max="11" width="12.7109375" style="14" customWidth="1" collapsed="1"/>
    <col min="12" max="12" width="19.140625" style="14" customWidth="1" collapsed="1"/>
    <col min="13" max="14" width="9.140625" style="14" customWidth="1" collapsed="1"/>
    <col min="15" max="15" width="16.421875" style="14" customWidth="1"/>
    <col min="16" max="18" width="9.140625" style="14" customWidth="1"/>
    <col min="19" max="19" width="17.140625" style="14" customWidth="1"/>
    <col min="20" max="16384" width="9.140625" style="14" customWidth="1"/>
  </cols>
  <sheetData>
    <row r="1" spans="1:15" ht="15.75">
      <c r="A1" s="80"/>
      <c r="B1" s="80"/>
      <c r="C1" s="80"/>
      <c r="D1" s="199"/>
      <c r="E1" s="199"/>
      <c r="F1" s="199"/>
      <c r="G1" s="199"/>
      <c r="H1" s="199"/>
      <c r="I1" s="199"/>
      <c r="J1" s="199"/>
      <c r="K1" s="199"/>
      <c r="L1" s="199"/>
      <c r="O1" s="200"/>
    </row>
    <row r="2" spans="1:15" ht="15.75">
      <c r="A2" s="80"/>
      <c r="B2" s="80"/>
      <c r="C2" s="80"/>
      <c r="D2" s="199"/>
      <c r="E2" s="199"/>
      <c r="F2" s="199"/>
      <c r="G2" s="199"/>
      <c r="H2" s="199"/>
      <c r="I2" s="199"/>
      <c r="J2" s="199"/>
      <c r="K2" s="199"/>
      <c r="L2" s="199"/>
      <c r="O2" s="201"/>
    </row>
    <row r="3" spans="2:12" ht="15.75">
      <c r="B3" s="202"/>
      <c r="C3" s="202"/>
      <c r="D3" s="203"/>
      <c r="E3" s="203"/>
      <c r="F3" s="203"/>
      <c r="G3" s="203"/>
      <c r="H3" s="203"/>
      <c r="I3" s="203"/>
      <c r="J3" s="203"/>
      <c r="K3" s="203"/>
      <c r="L3" s="203"/>
    </row>
    <row r="4" spans="2:15" ht="15.75" customHeight="1">
      <c r="B4" s="203"/>
      <c r="C4" s="203"/>
      <c r="D4" s="204"/>
      <c r="E4" s="204"/>
      <c r="F4" s="204"/>
      <c r="G4" s="204"/>
      <c r="H4" s="204"/>
      <c r="I4" s="204"/>
      <c r="J4" s="204"/>
      <c r="K4" s="204"/>
      <c r="L4" s="204"/>
      <c r="O4" s="205"/>
    </row>
    <row r="5" spans="2:15" ht="15.75">
      <c r="B5" s="203"/>
      <c r="C5" s="203"/>
      <c r="D5" s="206"/>
      <c r="E5" s="206"/>
      <c r="F5" s="206"/>
      <c r="G5" s="206"/>
      <c r="H5" s="206"/>
      <c r="I5" s="206"/>
      <c r="J5" s="206"/>
      <c r="K5" s="206"/>
      <c r="L5" s="206"/>
      <c r="O5" s="201"/>
    </row>
    <row r="6" spans="2:19" ht="15.75" customHeight="1"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203"/>
      <c r="O6" s="86"/>
      <c r="P6" s="86"/>
      <c r="Q6" s="86"/>
      <c r="R6" s="86"/>
      <c r="S6" s="207"/>
    </row>
    <row r="7" spans="2:19" ht="16.5" customHeight="1"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03"/>
      <c r="O7" s="85"/>
      <c r="P7" s="179"/>
      <c r="Q7" s="179"/>
      <c r="R7" s="179"/>
      <c r="S7" s="86"/>
    </row>
    <row r="8" spans="1:19" ht="15.75" customHeight="1">
      <c r="A8" s="13"/>
      <c r="B8" s="13"/>
      <c r="C8" s="13"/>
      <c r="D8" s="13"/>
      <c r="E8" s="13"/>
      <c r="F8" s="13"/>
      <c r="G8" s="13"/>
      <c r="H8" s="13"/>
      <c r="I8" s="13"/>
      <c r="J8" s="23"/>
      <c r="K8" s="23"/>
      <c r="L8" s="3"/>
      <c r="O8" s="85"/>
      <c r="P8" s="179"/>
      <c r="Q8" s="179"/>
      <c r="R8" s="179"/>
      <c r="S8" s="86"/>
    </row>
    <row r="9" spans="1:12" ht="15">
      <c r="A9" s="3"/>
      <c r="B9" s="3"/>
      <c r="C9" s="3"/>
      <c r="D9" s="3"/>
      <c r="E9" s="3"/>
      <c r="F9" s="3"/>
      <c r="G9" s="5"/>
      <c r="H9" s="3"/>
      <c r="I9" s="3"/>
      <c r="J9" s="3"/>
      <c r="K9" s="3"/>
      <c r="L9" s="3"/>
    </row>
    <row r="10" spans="1:12" ht="15.75">
      <c r="A10" s="208"/>
      <c r="B10" s="208"/>
      <c r="C10" s="208"/>
      <c r="D10" s="208"/>
      <c r="E10" s="208"/>
      <c r="F10" s="208"/>
      <c r="G10" s="208"/>
      <c r="H10" s="208"/>
      <c r="I10" s="208"/>
      <c r="J10" s="208"/>
      <c r="K10" s="208"/>
      <c r="L10" s="208"/>
    </row>
    <row r="11" spans="1:13" ht="15.75">
      <c r="A11" s="209"/>
      <c r="B11" s="210"/>
      <c r="C11" s="211"/>
      <c r="D11" s="212"/>
      <c r="E11" s="212"/>
      <c r="F11" s="213"/>
      <c r="G11" s="214"/>
      <c r="H11" s="215"/>
      <c r="I11" s="216"/>
      <c r="J11" s="216"/>
      <c r="K11" s="216"/>
      <c r="L11" s="217"/>
      <c r="M11" s="218"/>
    </row>
    <row r="12" spans="1:13" ht="18" customHeight="1">
      <c r="A12" s="219"/>
      <c r="B12" s="75"/>
      <c r="C12" s="220"/>
      <c r="D12" s="89"/>
      <c r="E12" s="89"/>
      <c r="F12" s="221"/>
      <c r="G12" s="222"/>
      <c r="H12" s="90"/>
      <c r="I12" s="223"/>
      <c r="J12" s="224"/>
      <c r="K12" s="225"/>
      <c r="L12" s="226"/>
      <c r="M12" s="227"/>
    </row>
    <row r="13" spans="1:13" ht="15.75">
      <c r="A13" s="219"/>
      <c r="B13" s="75"/>
      <c r="C13" s="220"/>
      <c r="D13" s="89"/>
      <c r="E13" s="89"/>
      <c r="F13" s="221"/>
      <c r="G13" s="222"/>
      <c r="H13" s="90"/>
      <c r="I13" s="223"/>
      <c r="J13" s="224"/>
      <c r="K13" s="225"/>
      <c r="L13" s="226"/>
      <c r="M13" s="227"/>
    </row>
    <row r="14" spans="1:13" ht="15.75">
      <c r="A14" s="219"/>
      <c r="B14" s="75"/>
      <c r="C14" s="220"/>
      <c r="D14" s="89"/>
      <c r="E14" s="89"/>
      <c r="F14" s="221"/>
      <c r="G14" s="222"/>
      <c r="H14" s="90"/>
      <c r="I14" s="223"/>
      <c r="J14" s="224"/>
      <c r="K14" s="225"/>
      <c r="L14" s="226"/>
      <c r="M14" s="227"/>
    </row>
    <row r="15" spans="1:13" ht="15.75">
      <c r="A15" s="219"/>
      <c r="B15" s="75"/>
      <c r="C15" s="220"/>
      <c r="D15" s="89"/>
      <c r="E15" s="89"/>
      <c r="F15" s="221"/>
      <c r="G15" s="222"/>
      <c r="H15" s="90"/>
      <c r="I15" s="223"/>
      <c r="J15" s="224"/>
      <c r="K15" s="225"/>
      <c r="L15" s="226"/>
      <c r="M15" s="227"/>
    </row>
    <row r="16" spans="1:13" ht="15.75">
      <c r="A16" s="219"/>
      <c r="B16" s="75"/>
      <c r="C16" s="220"/>
      <c r="D16" s="89"/>
      <c r="E16" s="89"/>
      <c r="F16" s="221"/>
      <c r="G16" s="222"/>
      <c r="H16" s="90"/>
      <c r="I16" s="223"/>
      <c r="J16" s="224"/>
      <c r="K16" s="225"/>
      <c r="L16" s="226"/>
      <c r="M16" s="227"/>
    </row>
    <row r="17" spans="1:12" ht="25.5" customHeight="1">
      <c r="A17" s="228"/>
      <c r="B17" s="228"/>
      <c r="C17" s="228"/>
      <c r="D17" s="228"/>
      <c r="E17" s="228"/>
      <c r="F17" s="228"/>
      <c r="G17" s="29"/>
      <c r="H17" s="29"/>
      <c r="I17" s="29"/>
      <c r="J17" s="29"/>
      <c r="K17" s="29"/>
      <c r="L17" s="29"/>
    </row>
    <row r="18" spans="1:12" ht="24" customHeight="1">
      <c r="A18" s="228"/>
      <c r="B18" s="228"/>
      <c r="C18" s="228"/>
      <c r="D18" s="228"/>
      <c r="E18" s="228"/>
      <c r="F18" s="228"/>
      <c r="G18" s="29"/>
      <c r="H18" s="29"/>
      <c r="I18" s="29"/>
      <c r="J18" s="29"/>
      <c r="K18" s="29"/>
      <c r="L18" s="29"/>
    </row>
    <row r="19" spans="1:12" ht="24" customHeight="1">
      <c r="A19" s="26"/>
      <c r="B19" s="26"/>
      <c r="C19" s="27"/>
      <c r="D19" s="28"/>
      <c r="E19" s="9"/>
      <c r="G19" s="29"/>
      <c r="H19" s="29"/>
      <c r="I19" s="29"/>
      <c r="J19" s="29"/>
      <c r="K19" s="29"/>
      <c r="L19" s="29"/>
    </row>
    <row r="20" spans="1:12" ht="24" customHeight="1">
      <c r="A20" s="26"/>
      <c r="B20" s="26"/>
      <c r="C20" s="27"/>
      <c r="D20" s="28"/>
      <c r="E20" s="9"/>
      <c r="G20" s="29"/>
      <c r="H20" s="29"/>
      <c r="I20" s="29"/>
      <c r="J20" s="29"/>
      <c r="K20" s="29"/>
      <c r="L20" s="29"/>
    </row>
    <row r="21" spans="1:11" ht="15">
      <c r="A21" s="9"/>
      <c r="B21" s="9"/>
      <c r="C21" s="9"/>
      <c r="D21" s="9"/>
      <c r="E21" s="9"/>
      <c r="F21" s="3"/>
      <c r="G21" s="5"/>
      <c r="H21" s="3"/>
      <c r="I21" s="3"/>
      <c r="J21" s="3"/>
      <c r="K21" s="3"/>
    </row>
    <row r="22" spans="1:6" ht="15.75">
      <c r="A22" s="80"/>
      <c r="B22" s="80"/>
      <c r="C22" s="80"/>
      <c r="D22" s="197"/>
      <c r="E22" s="197"/>
      <c r="F22" s="54"/>
    </row>
    <row r="23" spans="1:6" ht="15.75">
      <c r="A23" s="80"/>
      <c r="B23" s="80"/>
      <c r="C23" s="80"/>
      <c r="D23" s="179"/>
      <c r="E23" s="179"/>
      <c r="F23" s="12"/>
    </row>
    <row r="24" spans="1:5" ht="15">
      <c r="A24" s="198"/>
      <c r="B24" s="198"/>
      <c r="C24" s="198"/>
      <c r="D24" s="197"/>
      <c r="E24" s="197"/>
    </row>
    <row r="28" spans="1:6" ht="15">
      <c r="A28" s="179"/>
      <c r="B28" s="179"/>
      <c r="F28" s="179"/>
    </row>
    <row r="36" ht="15">
      <c r="F36" s="9"/>
    </row>
  </sheetData>
  <sheetProtection/>
  <dataValidations count="7">
    <dataValidation type="list" allowBlank="1" showInputMessage="1" showErrorMessage="1" sqref="O2">
      <formula1>дистанцииБаллы</formula1>
    </dataValidation>
    <dataValidation type="list" allowBlank="1" showInputMessage="1" showErrorMessage="1" sqref="O5">
      <formula1>вид_участия</formula1>
    </dataValidation>
    <dataValidation type="whole" operator="greaterThan" allowBlank="1" showErrorMessage="1" errorTitle="Внимание!" error="Данные в этой ячейке должны быть целым числом без любых дополнительных знаков." sqref="B12:B16">
      <formula1>0</formula1>
    </dataValidation>
    <dataValidation type="time" operator="greaterThanOrEqual" allowBlank="1" showInputMessage="1" showErrorMessage="1" sqref="D13:D16">
      <formula1>0</formula1>
    </dataValidation>
    <dataValidation type="list" allowBlank="1" showInputMessage="1" showErrorMessage="1" sqref="D4">
      <formula1>дисциплины</formula1>
    </dataValidation>
    <dataValidation errorStyle="information" type="time" operator="greaterThanOrEqual" allowBlank="1" errorTitle="сообщениеаа" sqref="D12">
      <formula1>0</formula1>
    </dataValidation>
    <dataValidation type="time" operator="greaterThanOrEqual" allowBlank="1" showInputMessage="1" sqref="E12">
      <formula1>0</formula1>
    </dataValidation>
  </dataValidations>
  <printOptions/>
  <pageMargins left="0.5905511811023623" right="0.5905511811023623" top="0.5905511811023623" bottom="0.5905511811023623" header="0" footer="0"/>
  <pageSetup fitToHeight="1" fitToWidth="1" horizontalDpi="300" verticalDpi="300" orientation="landscape" paperSize="9" scale="9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F29"/>
  <sheetViews>
    <sheetView zoomScalePageLayoutView="0" workbookViewId="0" topLeftCell="A1">
      <selection activeCell="AI11" sqref="AI11"/>
    </sheetView>
  </sheetViews>
  <sheetFormatPr defaultColWidth="9.140625" defaultRowHeight="15" outlineLevelCol="1"/>
  <cols>
    <col min="1" max="1" width="8.57421875" style="111" customWidth="1"/>
    <col min="2" max="2" width="7.8515625" style="111" customWidth="1"/>
    <col min="3" max="3" width="36.28125" style="111" customWidth="1"/>
    <col min="4" max="5" width="11.7109375" style="111" customWidth="1"/>
    <col min="6" max="6" width="7.421875" style="111" hidden="1" customWidth="1" outlineLevel="1"/>
    <col min="7" max="7" width="11.7109375" style="125" bestFit="1" customWidth="1" collapsed="1"/>
    <col min="8" max="8" width="5.8515625" style="111" hidden="1" customWidth="1" outlineLevel="1"/>
    <col min="9" max="9" width="6.28125" style="111" customWidth="1" collapsed="1"/>
    <col min="10" max="16" width="5.28125" style="111" customWidth="1"/>
    <col min="17" max="17" width="5.28125" style="111" hidden="1" customWidth="1"/>
    <col min="18" max="27" width="5.28125" style="111" customWidth="1"/>
    <col min="28" max="28" width="5.28125" style="111" hidden="1" customWidth="1"/>
    <col min="29" max="29" width="8.421875" style="111" customWidth="1"/>
    <col min="30" max="30" width="9.57421875" style="111" customWidth="1"/>
    <col min="31" max="31" width="10.00390625" style="111" customWidth="1"/>
    <col min="32" max="16384" width="9.140625" style="111" customWidth="1"/>
  </cols>
  <sheetData>
    <row r="1" spans="1:31" ht="26.25" customHeight="1">
      <c r="A1" s="80"/>
      <c r="B1" s="288"/>
      <c r="C1" s="288"/>
      <c r="D1" s="289" t="s">
        <v>157</v>
      </c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  <c r="T1" s="290"/>
      <c r="U1" s="290"/>
      <c r="V1" s="290"/>
      <c r="W1" s="290"/>
      <c r="X1" s="290"/>
      <c r="Y1" s="290"/>
      <c r="Z1" s="290"/>
      <c r="AA1" s="290"/>
      <c r="AB1" s="290"/>
      <c r="AC1" s="290"/>
      <c r="AD1" s="290"/>
      <c r="AE1" s="291"/>
    </row>
    <row r="2" spans="1:31" ht="22.5" customHeight="1">
      <c r="A2" s="81"/>
      <c r="B2" s="288"/>
      <c r="C2" s="288"/>
      <c r="D2" s="292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W2" s="293"/>
      <c r="X2" s="293"/>
      <c r="Y2" s="293"/>
      <c r="Z2" s="293"/>
      <c r="AA2" s="293"/>
      <c r="AB2" s="293"/>
      <c r="AC2" s="293"/>
      <c r="AD2" s="293"/>
      <c r="AE2" s="294"/>
    </row>
    <row r="3" spans="2:31" ht="15.75" customHeight="1">
      <c r="B3" s="295" t="s">
        <v>1</v>
      </c>
      <c r="C3" s="296"/>
      <c r="D3" s="297" t="e">
        <f>РангСоревнований</f>
        <v>#REF!</v>
      </c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97"/>
      <c r="R3" s="297"/>
      <c r="S3" s="297"/>
      <c r="T3" s="297"/>
      <c r="U3" s="297"/>
      <c r="V3" s="297"/>
      <c r="W3" s="297"/>
      <c r="X3" s="297"/>
      <c r="Y3" s="297"/>
      <c r="Z3" s="297"/>
      <c r="AA3" s="297"/>
      <c r="AB3" s="297"/>
      <c r="AC3" s="297"/>
      <c r="AD3" s="297"/>
      <c r="AE3" s="297"/>
    </row>
    <row r="4" spans="2:31" ht="15.75" customHeight="1">
      <c r="B4" s="298" t="s">
        <v>2</v>
      </c>
      <c r="C4" s="299"/>
      <c r="D4" s="300" t="s">
        <v>191</v>
      </c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1"/>
      <c r="P4" s="301"/>
      <c r="Q4" s="301"/>
      <c r="R4" s="301"/>
      <c r="S4" s="301"/>
      <c r="T4" s="301"/>
      <c r="U4" s="301"/>
      <c r="V4" s="301"/>
      <c r="W4" s="301"/>
      <c r="X4" s="301"/>
      <c r="Y4" s="301"/>
      <c r="Z4" s="301"/>
      <c r="AA4" s="301"/>
      <c r="AB4" s="301"/>
      <c r="AC4" s="301"/>
      <c r="AD4" s="301"/>
      <c r="AE4" s="302"/>
    </row>
    <row r="5" spans="2:31" ht="15.75" customHeight="1">
      <c r="B5" s="298" t="s">
        <v>3</v>
      </c>
      <c r="C5" s="299"/>
      <c r="D5" s="305" t="s">
        <v>169</v>
      </c>
      <c r="E5" s="305"/>
      <c r="F5" s="305"/>
      <c r="G5" s="305"/>
      <c r="H5" s="305"/>
      <c r="I5" s="305"/>
      <c r="J5" s="305"/>
      <c r="K5" s="305"/>
      <c r="L5" s="305"/>
      <c r="M5" s="305"/>
      <c r="N5" s="305"/>
      <c r="O5" s="305"/>
      <c r="P5" s="305"/>
      <c r="Q5" s="305"/>
      <c r="R5" s="305"/>
      <c r="S5" s="305"/>
      <c r="T5" s="305"/>
      <c r="U5" s="305"/>
      <c r="V5" s="305"/>
      <c r="W5" s="305"/>
      <c r="X5" s="305"/>
      <c r="Y5" s="305"/>
      <c r="Z5" s="305"/>
      <c r="AA5" s="305"/>
      <c r="AB5" s="305"/>
      <c r="AC5" s="305"/>
      <c r="AD5" s="305"/>
      <c r="AE5" s="305"/>
    </row>
    <row r="6" spans="2:31" ht="15.75" customHeight="1">
      <c r="B6" s="298" t="s">
        <v>4</v>
      </c>
      <c r="C6" s="299"/>
      <c r="D6" s="306"/>
      <c r="E6" s="306"/>
      <c r="F6" s="306"/>
      <c r="G6" s="306"/>
      <c r="H6" s="306"/>
      <c r="I6" s="306"/>
      <c r="J6" s="306"/>
      <c r="K6" s="306"/>
      <c r="L6" s="306"/>
      <c r="M6" s="306"/>
      <c r="N6" s="306"/>
      <c r="O6" s="306"/>
      <c r="P6" s="306"/>
      <c r="Q6" s="306"/>
      <c r="R6" s="306"/>
      <c r="S6" s="306"/>
      <c r="T6" s="306"/>
      <c r="U6" s="306"/>
      <c r="V6" s="306"/>
      <c r="W6" s="306"/>
      <c r="X6" s="306"/>
      <c r="Y6" s="306"/>
      <c r="Z6" s="306"/>
      <c r="AA6" s="306"/>
      <c r="AB6" s="306"/>
      <c r="AC6" s="306"/>
      <c r="AD6" s="306"/>
      <c r="AE6" s="306"/>
    </row>
    <row r="7" spans="2:31" ht="15.75" customHeight="1">
      <c r="B7" s="298" t="s">
        <v>5</v>
      </c>
      <c r="C7" s="299"/>
      <c r="D7" s="306"/>
      <c r="E7" s="306"/>
      <c r="F7" s="306"/>
      <c r="G7" s="306"/>
      <c r="H7" s="306"/>
      <c r="I7" s="306"/>
      <c r="J7" s="306"/>
      <c r="K7" s="306"/>
      <c r="L7" s="306"/>
      <c r="M7" s="306"/>
      <c r="N7" s="306"/>
      <c r="O7" s="306"/>
      <c r="P7" s="306"/>
      <c r="Q7" s="306"/>
      <c r="R7" s="306"/>
      <c r="S7" s="306"/>
      <c r="T7" s="306"/>
      <c r="U7" s="306"/>
      <c r="V7" s="306"/>
      <c r="W7" s="306"/>
      <c r="X7" s="306"/>
      <c r="Y7" s="306"/>
      <c r="Z7" s="306"/>
      <c r="AA7" s="306"/>
      <c r="AB7" s="306"/>
      <c r="AC7" s="306"/>
      <c r="AD7" s="306"/>
      <c r="AE7" s="306"/>
    </row>
    <row r="8" spans="1:31" ht="15">
      <c r="A8" s="1"/>
      <c r="B8" s="1"/>
      <c r="C8" s="1"/>
      <c r="D8" s="1"/>
      <c r="E8" s="1"/>
      <c r="F8" s="1"/>
      <c r="G8" s="122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2:31" ht="15.75">
      <c r="B9" s="307" t="s">
        <v>139</v>
      </c>
      <c r="C9" s="307"/>
      <c r="D9" s="307"/>
      <c r="E9" s="307"/>
      <c r="F9" s="307"/>
      <c r="G9" s="307"/>
      <c r="H9" s="307"/>
      <c r="I9" s="307"/>
      <c r="J9" s="307"/>
      <c r="K9" s="307"/>
      <c r="L9" s="307"/>
      <c r="M9" s="307"/>
      <c r="N9" s="307"/>
      <c r="O9" s="307"/>
      <c r="P9" s="307"/>
      <c r="Q9" s="307"/>
      <c r="R9" s="307"/>
      <c r="S9" s="307"/>
      <c r="T9" s="307"/>
      <c r="U9" s="307"/>
      <c r="V9" s="307"/>
      <c r="W9" s="307"/>
      <c r="X9" s="307"/>
      <c r="Y9" s="307"/>
      <c r="Z9" s="307"/>
      <c r="AA9" s="307"/>
      <c r="AB9" s="307"/>
      <c r="AC9" s="307"/>
      <c r="AD9" s="307"/>
      <c r="AE9" s="307"/>
    </row>
    <row r="10" spans="1:31" ht="20.25" customHeight="1">
      <c r="A10" s="83"/>
      <c r="B10" s="308"/>
      <c r="C10" s="309"/>
      <c r="D10" s="309"/>
      <c r="E10" s="309"/>
      <c r="F10" s="309"/>
      <c r="G10" s="310"/>
      <c r="H10" s="84"/>
      <c r="I10" s="311" t="s">
        <v>194</v>
      </c>
      <c r="J10" s="312"/>
      <c r="K10" s="312"/>
      <c r="L10" s="312"/>
      <c r="M10" s="312"/>
      <c r="N10" s="312"/>
      <c r="O10" s="312"/>
      <c r="P10" s="312"/>
      <c r="Q10" s="312"/>
      <c r="R10" s="312"/>
      <c r="S10" s="312"/>
      <c r="T10" s="312"/>
      <c r="U10" s="312"/>
      <c r="V10" s="312"/>
      <c r="W10" s="312"/>
      <c r="X10" s="312"/>
      <c r="Y10" s="312"/>
      <c r="Z10" s="312"/>
      <c r="AA10" s="312"/>
      <c r="AB10" s="313"/>
      <c r="AC10" s="311" t="s">
        <v>34</v>
      </c>
      <c r="AD10" s="313"/>
      <c r="AE10" s="180"/>
    </row>
    <row r="11" spans="1:31" ht="77.25" customHeight="1">
      <c r="A11" s="79" t="s">
        <v>154</v>
      </c>
      <c r="B11" s="15" t="s">
        <v>39</v>
      </c>
      <c r="C11" s="60" t="s">
        <v>41</v>
      </c>
      <c r="D11" s="40" t="s">
        <v>37</v>
      </c>
      <c r="E11" s="40" t="s">
        <v>36</v>
      </c>
      <c r="F11" s="40" t="s">
        <v>35</v>
      </c>
      <c r="G11" s="128" t="s">
        <v>149</v>
      </c>
      <c r="H11" s="61" t="s">
        <v>38</v>
      </c>
      <c r="I11" s="38" t="s">
        <v>17</v>
      </c>
      <c r="J11" s="38" t="s">
        <v>16</v>
      </c>
      <c r="K11" s="38" t="s">
        <v>19</v>
      </c>
      <c r="L11" s="38" t="s">
        <v>15</v>
      </c>
      <c r="M11" s="38" t="s">
        <v>30</v>
      </c>
      <c r="N11" s="38" t="s">
        <v>20</v>
      </c>
      <c r="O11" s="38" t="s">
        <v>26</v>
      </c>
      <c r="P11" s="38" t="s">
        <v>141</v>
      </c>
      <c r="Q11" s="38" t="s">
        <v>21</v>
      </c>
      <c r="R11" s="38" t="s">
        <v>29</v>
      </c>
      <c r="S11" s="38" t="s">
        <v>27</v>
      </c>
      <c r="T11" s="38" t="s">
        <v>25</v>
      </c>
      <c r="U11" s="38" t="s">
        <v>18</v>
      </c>
      <c r="V11" s="38" t="s">
        <v>140</v>
      </c>
      <c r="W11" s="38" t="s">
        <v>22</v>
      </c>
      <c r="X11" s="38" t="s">
        <v>23</v>
      </c>
      <c r="Y11" s="38" t="s">
        <v>24</v>
      </c>
      <c r="Z11" s="38" t="s">
        <v>184</v>
      </c>
      <c r="AA11" s="38" t="s">
        <v>192</v>
      </c>
      <c r="AB11" s="38" t="s">
        <v>193</v>
      </c>
      <c r="AC11" s="15" t="s">
        <v>9</v>
      </c>
      <c r="AD11" s="19" t="s">
        <v>32</v>
      </c>
      <c r="AE11" s="20" t="s">
        <v>150</v>
      </c>
    </row>
    <row r="12" spans="1:31" ht="18" customHeight="1">
      <c r="A12" s="173"/>
      <c r="B12" s="16">
        <f>_xlfn.IFERROR(VLOOKUP('Р-Ж-1п'!$A12,#REF!,2,0),0)</f>
        <v>0</v>
      </c>
      <c r="C12" s="71">
        <f>_xlfn.IFERROR(VLOOKUP('Р-Ж-1п'!$A12,#REF!,3,0),0)</f>
        <v>0</v>
      </c>
      <c r="D12" s="37">
        <v>0</v>
      </c>
      <c r="E12" s="37">
        <v>0</v>
      </c>
      <c r="F12" s="37"/>
      <c r="G12" s="73">
        <f>'Р-Ж-1п'!$E12-'Р-Ж-1п'!$D12</f>
        <v>0</v>
      </c>
      <c r="H12" s="16">
        <f>IF(TYPE(H11)=1,IF(H11=1,2,1),1)</f>
        <v>1</v>
      </c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16">
        <f>SUM('Р-Ж-1п'!$I12:$AB12)</f>
        <v>0</v>
      </c>
      <c r="AD12" s="7" t="e">
        <f>'Р-Ж-1п'!$AC12*ЦенаБалла</f>
        <v>#REF!</v>
      </c>
      <c r="AE12" s="6" t="e">
        <f>'Р-Ж-1п'!$G12+'Р-Ж-1п'!$AD12</f>
        <v>#REF!</v>
      </c>
    </row>
    <row r="13" spans="1:31" ht="15.75">
      <c r="A13" s="173"/>
      <c r="B13" s="16">
        <f>_xlfn.IFERROR(VLOOKUP('Р-Ж-1п'!$A13,#REF!,2,0),0)</f>
        <v>0</v>
      </c>
      <c r="C13" s="71">
        <f>_xlfn.IFERROR(VLOOKUP('Р-Ж-1п'!$A13,#REF!,3,0),0)</f>
        <v>0</v>
      </c>
      <c r="D13" s="37"/>
      <c r="E13" s="37"/>
      <c r="F13" s="37"/>
      <c r="G13" s="73">
        <f>'Р-Ж-1п'!$E13-'Р-Ж-1п'!$D13</f>
        <v>0</v>
      </c>
      <c r="H13" s="16">
        <f>IF(TYPE(H12)=1,IF(H12=1,2,1),1)</f>
        <v>2</v>
      </c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16">
        <f>SUM('Р-Ж-1п'!$I13:$AB13)</f>
        <v>0</v>
      </c>
      <c r="AD13" s="7" t="e">
        <f>'Р-Ж-1п'!$AC13*ЦенаБалла</f>
        <v>#REF!</v>
      </c>
      <c r="AE13" s="6" t="e">
        <f>'Р-Ж-1п'!$G13+'Р-Ж-1п'!$AD13</f>
        <v>#REF!</v>
      </c>
    </row>
    <row r="14" spans="1:31" ht="15.75">
      <c r="A14" s="173"/>
      <c r="B14" s="16">
        <f>_xlfn.IFERROR(VLOOKUP('Р-Ж-1п'!$A14,#REF!,2,0),0)</f>
        <v>0</v>
      </c>
      <c r="C14" s="71">
        <f>_xlfn.IFERROR(VLOOKUP('Р-Ж-1п'!$A14,#REF!,3,0),0)</f>
        <v>0</v>
      </c>
      <c r="D14" s="37"/>
      <c r="E14" s="37"/>
      <c r="F14" s="37"/>
      <c r="G14" s="73">
        <f>'Р-Ж-1п'!$E14-'Р-Ж-1п'!$D14</f>
        <v>0</v>
      </c>
      <c r="H14" s="16">
        <f>IF(TYPE(H13)=1,IF(H13=1,2,1),1)</f>
        <v>1</v>
      </c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16">
        <f>SUM('Р-Ж-1п'!$I14:$AB14)</f>
        <v>0</v>
      </c>
      <c r="AD14" s="7" t="e">
        <f>'Р-Ж-1п'!$AC14*ЦенаБалла</f>
        <v>#REF!</v>
      </c>
      <c r="AE14" s="6" t="e">
        <f>'Р-Ж-1п'!$G14+'Р-Ж-1п'!$AD14</f>
        <v>#REF!</v>
      </c>
    </row>
    <row r="15" spans="1:31" ht="15.75">
      <c r="A15" s="173"/>
      <c r="B15" s="16">
        <f>_xlfn.IFERROR(VLOOKUP('Р-Ж-1п'!$A15,#REF!,2,0),0)</f>
        <v>0</v>
      </c>
      <c r="C15" s="71">
        <f>_xlfn.IFERROR(VLOOKUP('Р-Ж-1п'!$A15,#REF!,3,0),0)</f>
        <v>0</v>
      </c>
      <c r="D15" s="37"/>
      <c r="E15" s="37"/>
      <c r="F15" s="37"/>
      <c r="G15" s="73">
        <f>'Р-Ж-1п'!$E15-'Р-Ж-1п'!$D15</f>
        <v>0</v>
      </c>
      <c r="H15" s="16">
        <f>IF(TYPE(H14)=1,IF(H14=1,2,1),1)</f>
        <v>2</v>
      </c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16">
        <f>SUM('Р-Ж-1п'!$I15:$AB15)</f>
        <v>0</v>
      </c>
      <c r="AD15" s="7" t="e">
        <f>'Р-Ж-1п'!$AC15*ЦенаБалла</f>
        <v>#REF!</v>
      </c>
      <c r="AE15" s="6" t="e">
        <f>'Р-Ж-1п'!$G15+'Р-Ж-1п'!$AD15</f>
        <v>#REF!</v>
      </c>
    </row>
    <row r="16" spans="1:31" ht="15.75">
      <c r="A16" s="173"/>
      <c r="B16" s="16">
        <f>_xlfn.IFERROR(VLOOKUP('Р-Ж-1п'!$A16,#REF!,2,0),0)</f>
        <v>0</v>
      </c>
      <c r="C16" s="71">
        <f>_xlfn.IFERROR(VLOOKUP('Р-Ж-1п'!$A16,#REF!,3,0),0)</f>
        <v>0</v>
      </c>
      <c r="D16" s="37"/>
      <c r="E16" s="37"/>
      <c r="F16" s="37"/>
      <c r="G16" s="73">
        <f>'Р-Ж-1п'!$E16-'Р-Ж-1п'!$D16</f>
        <v>0</v>
      </c>
      <c r="H16" s="16">
        <f>IF(TYPE(#REF!)=1,IF(#REF!=1,2,1),1)</f>
        <v>1</v>
      </c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16">
        <f>SUM('Р-Ж-1п'!$I16:$AB16)</f>
        <v>0</v>
      </c>
      <c r="AD16" s="7" t="e">
        <f>'Р-Ж-1п'!$AC16*ЦенаБалла</f>
        <v>#REF!</v>
      </c>
      <c r="AE16" s="6" t="e">
        <f>'Р-Ж-1п'!$G16+'Р-Ж-1п'!$AD16</f>
        <v>#REF!</v>
      </c>
    </row>
    <row r="17" spans="1:31" ht="15.75">
      <c r="A17" s="173"/>
      <c r="B17" s="16">
        <f>_xlfn.IFERROR(VLOOKUP('Р-Ж-1п'!$A17,#REF!,2,0),0)</f>
        <v>0</v>
      </c>
      <c r="C17" s="71">
        <f>_xlfn.IFERROR(VLOOKUP('Р-Ж-1п'!$A17,#REF!,3,0),0)</f>
        <v>0</v>
      </c>
      <c r="D17" s="37"/>
      <c r="E17" s="37"/>
      <c r="F17" s="37"/>
      <c r="G17" s="73">
        <f>'Р-Ж-1п'!$E17-'Р-Ж-1п'!$D17</f>
        <v>0</v>
      </c>
      <c r="H17" s="16">
        <f aca="true" t="shared" si="0" ref="H17:H26">IF(TYPE(H16)=1,IF(H16=1,2,1),1)</f>
        <v>2</v>
      </c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16">
        <f>SUM('Р-Ж-1п'!$I17:$AB17)</f>
        <v>0</v>
      </c>
      <c r="AD17" s="7" t="e">
        <f>'Р-Ж-1п'!$AC17*ЦенаБалла</f>
        <v>#REF!</v>
      </c>
      <c r="AE17" s="6" t="e">
        <f>'Р-Ж-1п'!$G17+'Р-Ж-1п'!$AD17</f>
        <v>#REF!</v>
      </c>
    </row>
    <row r="18" spans="1:31" ht="15.75">
      <c r="A18" s="173"/>
      <c r="B18" s="16">
        <f>_xlfn.IFERROR(VLOOKUP('Р-Ж-1п'!$A18,#REF!,2,0),0)</f>
        <v>0</v>
      </c>
      <c r="C18" s="71">
        <f>_xlfn.IFERROR(VLOOKUP('Р-Ж-1п'!$A18,#REF!,3,0),0)</f>
        <v>0</v>
      </c>
      <c r="D18" s="37"/>
      <c r="E18" s="37"/>
      <c r="F18" s="37"/>
      <c r="G18" s="73">
        <f>'Р-Ж-1п'!$E18-'Р-Ж-1п'!$D18</f>
        <v>0</v>
      </c>
      <c r="H18" s="16">
        <f t="shared" si="0"/>
        <v>1</v>
      </c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16">
        <f>SUM('Р-Ж-1п'!$I18:$AB18)</f>
        <v>0</v>
      </c>
      <c r="AD18" s="7" t="e">
        <f>'Р-Ж-1п'!$AC18*ЦенаБалла</f>
        <v>#REF!</v>
      </c>
      <c r="AE18" s="6" t="e">
        <f>'Р-Ж-1п'!$G18+'Р-Ж-1п'!$AD18</f>
        <v>#REF!</v>
      </c>
    </row>
    <row r="19" spans="1:31" ht="15.75">
      <c r="A19" s="173"/>
      <c r="B19" s="110">
        <f>_xlfn.IFERROR(VLOOKUP('Р-Ж-1п'!$A19,#REF!,2,0),0)</f>
        <v>0</v>
      </c>
      <c r="C19" s="109">
        <f>_xlfn.IFERROR(VLOOKUP('Р-Ж-1п'!$A19,#REF!,3,0),0)</f>
        <v>0</v>
      </c>
      <c r="D19" s="37"/>
      <c r="E19" s="37"/>
      <c r="F19" s="37"/>
      <c r="G19" s="73">
        <f>'Р-Ж-1п'!$E19-'Р-Ж-1п'!$D19</f>
        <v>0</v>
      </c>
      <c r="H19" s="110">
        <f t="shared" si="0"/>
        <v>2</v>
      </c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107"/>
      <c r="AC19" s="110">
        <f>SUM('Р-Ж-1п'!$I19:$AB19)</f>
        <v>0</v>
      </c>
      <c r="AD19" s="106" t="e">
        <f>'Р-Ж-1п'!$AC19*ЦенаБалла</f>
        <v>#REF!</v>
      </c>
      <c r="AE19" s="117" t="e">
        <f>'Р-Ж-1п'!$G19+'Р-Ж-1п'!$AD19</f>
        <v>#REF!</v>
      </c>
    </row>
    <row r="20" spans="1:31" s="14" customFormat="1" ht="15" customHeight="1">
      <c r="A20" s="173"/>
      <c r="B20" s="18">
        <f>_xlfn.IFERROR(VLOOKUP('Р-Ж-1п'!$A20,#REF!,2,0),0)</f>
        <v>0</v>
      </c>
      <c r="C20" s="72">
        <f>_xlfn.IFERROR(VLOOKUP('Р-Ж-1п'!$A20,#REF!,3,0),0)</f>
        <v>0</v>
      </c>
      <c r="D20" s="37"/>
      <c r="E20" s="37"/>
      <c r="F20" s="37"/>
      <c r="G20" s="73">
        <f>'Р-Ж-1п'!$E20-'Р-Ж-1п'!$D20</f>
        <v>0</v>
      </c>
      <c r="H20" s="18">
        <f t="shared" si="0"/>
        <v>1</v>
      </c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18">
        <f>SUM('Р-Ж-1п'!$I20:$AB20)</f>
        <v>0</v>
      </c>
      <c r="AD20" s="17" t="e">
        <f>'Р-Ж-1п'!$AC20*ЦенаБалла</f>
        <v>#REF!</v>
      </c>
      <c r="AE20" s="7" t="e">
        <f>'Р-Ж-1п'!$G20+'Р-Ж-1п'!$AD20</f>
        <v>#REF!</v>
      </c>
    </row>
    <row r="21" spans="1:31" s="14" customFormat="1" ht="15" customHeight="1">
      <c r="A21" s="173"/>
      <c r="B21" s="16">
        <f>_xlfn.IFERROR(VLOOKUP('Р-Ж-1п'!$A21,#REF!,2,0),0)</f>
        <v>0</v>
      </c>
      <c r="C21" s="71">
        <f>_xlfn.IFERROR(VLOOKUP('Р-Ж-1п'!$A21,#REF!,3,0),0)</f>
        <v>0</v>
      </c>
      <c r="D21" s="37"/>
      <c r="E21" s="37"/>
      <c r="F21" s="37"/>
      <c r="G21" s="73">
        <f>'Р-Ж-1п'!$E21-'Р-Ж-1п'!$D21</f>
        <v>0</v>
      </c>
      <c r="H21" s="16">
        <f t="shared" si="0"/>
        <v>2</v>
      </c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16">
        <f>SUM('Р-Ж-1п'!$I21:$AB21)</f>
        <v>0</v>
      </c>
      <c r="AD21" s="17" t="e">
        <f>'Р-Ж-1п'!$AC21*ЦенаБалла</f>
        <v>#REF!</v>
      </c>
      <c r="AE21" s="6" t="e">
        <f>'Р-Ж-1п'!$G21+'Р-Ж-1п'!$AD21</f>
        <v>#REF!</v>
      </c>
    </row>
    <row r="22" spans="1:31" s="14" customFormat="1" ht="15" customHeight="1">
      <c r="A22" s="173"/>
      <c r="B22" s="110">
        <f>_xlfn.IFERROR(VLOOKUP('Р-Ж-1п'!$A22,#REF!,2,0),0)</f>
        <v>0</v>
      </c>
      <c r="C22" s="109">
        <f>_xlfn.IFERROR(VLOOKUP('Р-Ж-1п'!$A22,#REF!,3,0),0)</f>
        <v>0</v>
      </c>
      <c r="D22" s="37"/>
      <c r="E22" s="37"/>
      <c r="F22" s="108"/>
      <c r="G22" s="73">
        <f>'Р-Ж-1п'!$E22-'Р-Ж-1п'!$D22</f>
        <v>0</v>
      </c>
      <c r="H22" s="110">
        <f t="shared" si="0"/>
        <v>1</v>
      </c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107"/>
      <c r="AC22" s="110">
        <f>SUM('Р-Ж-1п'!$I22:$AB22)</f>
        <v>0</v>
      </c>
      <c r="AD22" s="106" t="e">
        <f>'Р-Ж-1п'!$AC22*ЦенаБалла</f>
        <v>#REF!</v>
      </c>
      <c r="AE22" s="117" t="e">
        <f>'Р-Ж-1п'!$G22+'Р-Ж-1п'!$AD22</f>
        <v>#REF!</v>
      </c>
    </row>
    <row r="23" spans="1:31" s="14" customFormat="1" ht="15.75">
      <c r="A23" s="183"/>
      <c r="B23" s="184">
        <f>_xlfn.IFERROR(VLOOKUP('Р-Ж-1п'!$A23,#REF!,2,0),0)</f>
        <v>0</v>
      </c>
      <c r="C23" s="186">
        <f>_xlfn.IFERROR(VLOOKUP('Р-Ж-1п'!$A23,#REF!,3,0),0)</f>
        <v>0</v>
      </c>
      <c r="D23" s="188"/>
      <c r="E23" s="188"/>
      <c r="F23" s="188"/>
      <c r="G23" s="194">
        <f>'Р-Ж-1п'!$E23-'Р-Ж-1п'!$D23</f>
        <v>0</v>
      </c>
      <c r="H23" s="185">
        <f t="shared" si="0"/>
        <v>2</v>
      </c>
      <c r="I23" s="190"/>
      <c r="J23" s="190"/>
      <c r="K23" s="190"/>
      <c r="L23" s="190"/>
      <c r="M23" s="190"/>
      <c r="N23" s="190"/>
      <c r="O23" s="190"/>
      <c r="P23" s="190"/>
      <c r="Q23" s="190"/>
      <c r="R23" s="190"/>
      <c r="S23" s="190"/>
      <c r="T23" s="190"/>
      <c r="U23" s="190"/>
      <c r="V23" s="191"/>
      <c r="W23" s="191"/>
      <c r="X23" s="191"/>
      <c r="Y23" s="191"/>
      <c r="Z23" s="191"/>
      <c r="AA23" s="191"/>
      <c r="AB23" s="191"/>
      <c r="AC23" s="185">
        <f>SUM('Р-Ж-1п'!$I23:$AB23)</f>
        <v>0</v>
      </c>
      <c r="AD23" s="192" t="e">
        <f>'Р-Ж-1п'!$AC23*ЦенаБалла</f>
        <v>#REF!</v>
      </c>
      <c r="AE23" s="193" t="e">
        <f>'Р-Ж-1п'!$G23+'Р-Ж-1п'!$AD23</f>
        <v>#REF!</v>
      </c>
    </row>
    <row r="24" spans="1:31" ht="15.75">
      <c r="A24" s="183"/>
      <c r="B24" s="185">
        <f>_xlfn.IFERROR(VLOOKUP('Р-Ж-1п'!$A24,#REF!,2,0),0)</f>
        <v>0</v>
      </c>
      <c r="C24" s="187">
        <f>_xlfn.IFERROR(VLOOKUP('Р-Ж-1п'!$A24,#REF!,3,0),0)</f>
        <v>0</v>
      </c>
      <c r="D24" s="189"/>
      <c r="E24" s="189"/>
      <c r="F24" s="189"/>
      <c r="G24" s="73">
        <f>'Р-Ж-1п'!$E24-'Р-Ж-1п'!$D24</f>
        <v>0</v>
      </c>
      <c r="H24" s="185">
        <f t="shared" si="0"/>
        <v>1</v>
      </c>
      <c r="I24" s="191"/>
      <c r="J24" s="191"/>
      <c r="K24" s="191"/>
      <c r="L24" s="191"/>
      <c r="M24" s="191"/>
      <c r="N24" s="191"/>
      <c r="O24" s="191"/>
      <c r="P24" s="191"/>
      <c r="Q24" s="191"/>
      <c r="R24" s="191"/>
      <c r="S24" s="191"/>
      <c r="T24" s="191"/>
      <c r="U24" s="191"/>
      <c r="V24" s="191"/>
      <c r="W24" s="191"/>
      <c r="X24" s="191"/>
      <c r="Y24" s="191"/>
      <c r="Z24" s="191"/>
      <c r="AA24" s="191"/>
      <c r="AB24" s="191"/>
      <c r="AC24" s="185">
        <f>SUM('Р-Ж-1п'!$I24:$AB24)</f>
        <v>0</v>
      </c>
      <c r="AD24" s="192" t="e">
        <f>'Р-Ж-1п'!$AC24*ЦенаБалла</f>
        <v>#REF!</v>
      </c>
      <c r="AE24" s="193" t="e">
        <f>'Р-Ж-1п'!$G24+'Р-Ж-1п'!$AD24</f>
        <v>#REF!</v>
      </c>
    </row>
    <row r="25" spans="1:31" ht="15.75">
      <c r="A25" s="183"/>
      <c r="B25" s="185">
        <f>_xlfn.IFERROR(VLOOKUP('Р-Ж-1п'!$A25,#REF!,2,0),0)</f>
        <v>0</v>
      </c>
      <c r="C25" s="187">
        <f>_xlfn.IFERROR(VLOOKUP('Р-Ж-1п'!$A25,#REF!,3,0),0)</f>
        <v>0</v>
      </c>
      <c r="D25" s="189"/>
      <c r="E25" s="189"/>
      <c r="F25" s="189"/>
      <c r="G25" s="73">
        <f>'Р-Ж-1п'!$E25-'Р-Ж-1п'!$D25</f>
        <v>0</v>
      </c>
      <c r="H25" s="185">
        <f t="shared" si="0"/>
        <v>2</v>
      </c>
      <c r="I25" s="191"/>
      <c r="J25" s="191"/>
      <c r="K25" s="191"/>
      <c r="L25" s="191"/>
      <c r="M25" s="191"/>
      <c r="N25" s="191"/>
      <c r="O25" s="191"/>
      <c r="P25" s="191"/>
      <c r="Q25" s="191"/>
      <c r="R25" s="191"/>
      <c r="S25" s="191"/>
      <c r="T25" s="191"/>
      <c r="U25" s="191"/>
      <c r="V25" s="191"/>
      <c r="W25" s="191"/>
      <c r="X25" s="191"/>
      <c r="Y25" s="191"/>
      <c r="Z25" s="191"/>
      <c r="AA25" s="191"/>
      <c r="AB25" s="191"/>
      <c r="AC25" s="185">
        <f>SUM('Р-Ж-1п'!$I25:$AB25)</f>
        <v>0</v>
      </c>
      <c r="AD25" s="192" t="e">
        <f>'Р-Ж-1п'!$AC25*ЦенаБалла</f>
        <v>#REF!</v>
      </c>
      <c r="AE25" s="193" t="e">
        <f>'Р-Ж-1п'!$G25+'Р-Ж-1п'!$AD25</f>
        <v>#REF!</v>
      </c>
    </row>
    <row r="26" spans="1:31" ht="15.75">
      <c r="A26" s="183"/>
      <c r="B26" s="185">
        <f>_xlfn.IFERROR(VLOOKUP('Р-Ж-1п'!$A26,#REF!,2,0),0)</f>
        <v>0</v>
      </c>
      <c r="C26" s="187">
        <f>_xlfn.IFERROR(VLOOKUP('Р-Ж-1п'!$A26,#REF!,3,0),0)</f>
        <v>0</v>
      </c>
      <c r="D26" s="189"/>
      <c r="E26" s="189"/>
      <c r="F26" s="189"/>
      <c r="G26" s="73">
        <f>'Р-Ж-1п'!$E26-'Р-Ж-1п'!$D26</f>
        <v>0</v>
      </c>
      <c r="H26" s="185">
        <f t="shared" si="0"/>
        <v>1</v>
      </c>
      <c r="I26" s="191"/>
      <c r="J26" s="191"/>
      <c r="K26" s="191"/>
      <c r="L26" s="191"/>
      <c r="M26" s="191"/>
      <c r="N26" s="191"/>
      <c r="O26" s="191"/>
      <c r="P26" s="191"/>
      <c r="Q26" s="191"/>
      <c r="R26" s="191"/>
      <c r="S26" s="191"/>
      <c r="T26" s="191"/>
      <c r="U26" s="191"/>
      <c r="V26" s="191"/>
      <c r="W26" s="191"/>
      <c r="X26" s="191"/>
      <c r="Y26" s="191"/>
      <c r="Z26" s="191"/>
      <c r="AA26" s="191"/>
      <c r="AB26" s="191"/>
      <c r="AC26" s="185">
        <f>SUM('Р-Ж-1п'!$I26:$AB26)</f>
        <v>0</v>
      </c>
      <c r="AD26" s="192" t="e">
        <f>'Р-Ж-1п'!$AC26*ЦенаБалла</f>
        <v>#REF!</v>
      </c>
      <c r="AE26" s="193" t="e">
        <f>'Р-Ж-1п'!$G26+'Р-Ж-1п'!$AD26</f>
        <v>#REF!</v>
      </c>
    </row>
    <row r="27" spans="2:32" ht="15.75">
      <c r="B27" s="82" t="s">
        <v>7</v>
      </c>
      <c r="C27" s="82"/>
      <c r="D27" s="304"/>
      <c r="E27" s="304"/>
      <c r="G27" s="123"/>
      <c r="H27" s="10"/>
      <c r="I27" s="14"/>
      <c r="J27" s="54" t="e">
        <f>фиосудья</f>
        <v>#REF!</v>
      </c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</row>
    <row r="28" spans="2:32" ht="15.75">
      <c r="B28" s="82" t="s">
        <v>6</v>
      </c>
      <c r="C28" s="82"/>
      <c r="D28" s="179"/>
      <c r="E28" s="179"/>
      <c r="F28" s="11"/>
      <c r="G28" s="124"/>
      <c r="H28" s="11"/>
      <c r="I28" s="14"/>
      <c r="J28" s="12" t="e">
        <f>фиосекретарь</f>
        <v>#REF!</v>
      </c>
      <c r="K28" s="12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</row>
    <row r="29" spans="2:11" ht="15">
      <c r="B29" s="303" t="e">
        <f>дата_протокол</f>
        <v>#REF!</v>
      </c>
      <c r="C29" s="303"/>
      <c r="D29" s="304"/>
      <c r="E29" s="304"/>
      <c r="I29" s="14"/>
      <c r="J29" s="14"/>
      <c r="K29" s="14"/>
    </row>
  </sheetData>
  <sheetProtection/>
  <mergeCells count="19">
    <mergeCell ref="B29:C29"/>
    <mergeCell ref="D29:E29"/>
    <mergeCell ref="B5:C5"/>
    <mergeCell ref="D5:AE5"/>
    <mergeCell ref="B6:C6"/>
    <mergeCell ref="D6:AE6"/>
    <mergeCell ref="B7:C7"/>
    <mergeCell ref="D7:AE7"/>
    <mergeCell ref="B9:AE9"/>
    <mergeCell ref="B10:G10"/>
    <mergeCell ref="I10:AB10"/>
    <mergeCell ref="AC10:AD10"/>
    <mergeCell ref="D27:E27"/>
    <mergeCell ref="B1:C2"/>
    <mergeCell ref="D1:AE2"/>
    <mergeCell ref="B3:C3"/>
    <mergeCell ref="D3:AE3"/>
    <mergeCell ref="B4:C4"/>
    <mergeCell ref="D4:AE4"/>
  </mergeCells>
  <dataValidations count="3">
    <dataValidation type="time" operator="greaterThanOrEqual" allowBlank="1" showInputMessage="1" showErrorMessage="1" sqref="E22:E26 G12:G26 D22:D23 D12:E21">
      <formula1>0</formula1>
    </dataValidation>
    <dataValidation type="list" allowBlank="1" showInputMessage="1" showErrorMessage="1" sqref="D4">
      <formula1>дисциплины</formula1>
    </dataValidation>
    <dataValidation type="whole" operator="greaterThan" allowBlank="1" showErrorMessage="1" errorTitle="Внимание!" error="Данные в этой ячейке должны быть целым числом без любых дополнительных знаков." sqref="B12:B26">
      <formula1>0</formula1>
    </dataValidation>
  </dataValidations>
  <printOptions/>
  <pageMargins left="0.5905511811023623" right="0.5905511811023623" top="0.5905511811023623" bottom="0.5905511811023623" header="0" footer="0"/>
  <pageSetup fitToHeight="1" fitToWidth="1" horizontalDpi="300" verticalDpi="300" orientation="landscape" paperSize="9" scale="67" r:id="rId5"/>
  <drawing r:id="rId4"/>
  <legacyDrawing r:id="rId2"/>
  <tableParts>
    <tablePart r:id="rId3"/>
  </tablePart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F29"/>
  <sheetViews>
    <sheetView zoomScalePageLayoutView="0" workbookViewId="0" topLeftCell="A1">
      <selection activeCell="D12" sqref="D12:E12"/>
    </sheetView>
  </sheetViews>
  <sheetFormatPr defaultColWidth="9.140625" defaultRowHeight="15" outlineLevelCol="1"/>
  <cols>
    <col min="1" max="1" width="8.57421875" style="111" customWidth="1"/>
    <col min="2" max="2" width="7.8515625" style="111" customWidth="1"/>
    <col min="3" max="3" width="36.28125" style="111" customWidth="1"/>
    <col min="4" max="5" width="11.7109375" style="111" customWidth="1"/>
    <col min="6" max="6" width="7.421875" style="111" hidden="1" customWidth="1" outlineLevel="1"/>
    <col min="7" max="7" width="11.7109375" style="125" bestFit="1" customWidth="1" collapsed="1"/>
    <col min="8" max="8" width="5.8515625" style="111" hidden="1" customWidth="1" outlineLevel="1"/>
    <col min="9" max="9" width="6.28125" style="111" customWidth="1" collapsed="1"/>
    <col min="10" max="16" width="5.28125" style="111" customWidth="1"/>
    <col min="17" max="17" width="5.28125" style="111" hidden="1" customWidth="1"/>
    <col min="18" max="27" width="5.28125" style="111" customWidth="1"/>
    <col min="28" max="28" width="5.28125" style="111" hidden="1" customWidth="1"/>
    <col min="29" max="29" width="8.421875" style="111" customWidth="1"/>
    <col min="30" max="30" width="9.57421875" style="111" customWidth="1"/>
    <col min="31" max="31" width="10.00390625" style="111" customWidth="1"/>
    <col min="32" max="16384" width="9.140625" style="111" customWidth="1"/>
  </cols>
  <sheetData>
    <row r="1" spans="1:31" ht="26.25" customHeight="1">
      <c r="A1" s="80"/>
      <c r="B1" s="288"/>
      <c r="C1" s="288"/>
      <c r="D1" s="289" t="s">
        <v>157</v>
      </c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  <c r="T1" s="290"/>
      <c r="U1" s="290"/>
      <c r="V1" s="290"/>
      <c r="W1" s="290"/>
      <c r="X1" s="290"/>
      <c r="Y1" s="290"/>
      <c r="Z1" s="290"/>
      <c r="AA1" s="290"/>
      <c r="AB1" s="290"/>
      <c r="AC1" s="290"/>
      <c r="AD1" s="290"/>
      <c r="AE1" s="291"/>
    </row>
    <row r="2" spans="1:31" ht="22.5" customHeight="1">
      <c r="A2" s="81"/>
      <c r="B2" s="288"/>
      <c r="C2" s="288"/>
      <c r="D2" s="292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W2" s="293"/>
      <c r="X2" s="293"/>
      <c r="Y2" s="293"/>
      <c r="Z2" s="293"/>
      <c r="AA2" s="293"/>
      <c r="AB2" s="293"/>
      <c r="AC2" s="293"/>
      <c r="AD2" s="293"/>
      <c r="AE2" s="294"/>
    </row>
    <row r="3" spans="2:31" ht="15.75" customHeight="1">
      <c r="B3" s="295" t="s">
        <v>1</v>
      </c>
      <c r="C3" s="296"/>
      <c r="D3" s="297" t="e">
        <f>РангСоревнований</f>
        <v>#REF!</v>
      </c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97"/>
      <c r="R3" s="297"/>
      <c r="S3" s="297"/>
      <c r="T3" s="297"/>
      <c r="U3" s="297"/>
      <c r="V3" s="297"/>
      <c r="W3" s="297"/>
      <c r="X3" s="297"/>
      <c r="Y3" s="297"/>
      <c r="Z3" s="297"/>
      <c r="AA3" s="297"/>
      <c r="AB3" s="297"/>
      <c r="AC3" s="297"/>
      <c r="AD3" s="297"/>
      <c r="AE3" s="297"/>
    </row>
    <row r="4" spans="2:31" ht="15.75" customHeight="1">
      <c r="B4" s="298" t="s">
        <v>2</v>
      </c>
      <c r="C4" s="299"/>
      <c r="D4" s="300" t="s">
        <v>191</v>
      </c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1"/>
      <c r="P4" s="301"/>
      <c r="Q4" s="301"/>
      <c r="R4" s="301"/>
      <c r="S4" s="301"/>
      <c r="T4" s="301"/>
      <c r="U4" s="301"/>
      <c r="V4" s="301"/>
      <c r="W4" s="301"/>
      <c r="X4" s="301"/>
      <c r="Y4" s="301"/>
      <c r="Z4" s="301"/>
      <c r="AA4" s="301"/>
      <c r="AB4" s="301"/>
      <c r="AC4" s="301"/>
      <c r="AD4" s="301"/>
      <c r="AE4" s="302"/>
    </row>
    <row r="5" spans="2:31" ht="15.75" customHeight="1">
      <c r="B5" s="298" t="s">
        <v>3</v>
      </c>
      <c r="C5" s="299"/>
      <c r="D5" s="305" t="s">
        <v>169</v>
      </c>
      <c r="E5" s="305"/>
      <c r="F5" s="305"/>
      <c r="G5" s="305"/>
      <c r="H5" s="305"/>
      <c r="I5" s="305"/>
      <c r="J5" s="305"/>
      <c r="K5" s="305"/>
      <c r="L5" s="305"/>
      <c r="M5" s="305"/>
      <c r="N5" s="305"/>
      <c r="O5" s="305"/>
      <c r="P5" s="305"/>
      <c r="Q5" s="305"/>
      <c r="R5" s="305"/>
      <c r="S5" s="305"/>
      <c r="T5" s="305"/>
      <c r="U5" s="305"/>
      <c r="V5" s="305"/>
      <c r="W5" s="305"/>
      <c r="X5" s="305"/>
      <c r="Y5" s="305"/>
      <c r="Z5" s="305"/>
      <c r="AA5" s="305"/>
      <c r="AB5" s="305"/>
      <c r="AC5" s="305"/>
      <c r="AD5" s="305"/>
      <c r="AE5" s="305"/>
    </row>
    <row r="6" spans="2:31" ht="15.75" customHeight="1">
      <c r="B6" s="298" t="s">
        <v>4</v>
      </c>
      <c r="C6" s="299"/>
      <c r="D6" s="306"/>
      <c r="E6" s="306"/>
      <c r="F6" s="306"/>
      <c r="G6" s="306"/>
      <c r="H6" s="306"/>
      <c r="I6" s="306"/>
      <c r="J6" s="306"/>
      <c r="K6" s="306"/>
      <c r="L6" s="306"/>
      <c r="M6" s="306"/>
      <c r="N6" s="306"/>
      <c r="O6" s="306"/>
      <c r="P6" s="306"/>
      <c r="Q6" s="306"/>
      <c r="R6" s="306"/>
      <c r="S6" s="306"/>
      <c r="T6" s="306"/>
      <c r="U6" s="306"/>
      <c r="V6" s="306"/>
      <c r="W6" s="306"/>
      <c r="X6" s="306"/>
      <c r="Y6" s="306"/>
      <c r="Z6" s="306"/>
      <c r="AA6" s="306"/>
      <c r="AB6" s="306"/>
      <c r="AC6" s="306"/>
      <c r="AD6" s="306"/>
      <c r="AE6" s="306"/>
    </row>
    <row r="7" spans="2:31" ht="15.75" customHeight="1">
      <c r="B7" s="298" t="s">
        <v>5</v>
      </c>
      <c r="C7" s="299"/>
      <c r="D7" s="306"/>
      <c r="E7" s="306"/>
      <c r="F7" s="306"/>
      <c r="G7" s="306"/>
      <c r="H7" s="306"/>
      <c r="I7" s="306"/>
      <c r="J7" s="306"/>
      <c r="K7" s="306"/>
      <c r="L7" s="306"/>
      <c r="M7" s="306"/>
      <c r="N7" s="306"/>
      <c r="O7" s="306"/>
      <c r="P7" s="306"/>
      <c r="Q7" s="306"/>
      <c r="R7" s="306"/>
      <c r="S7" s="306"/>
      <c r="T7" s="306"/>
      <c r="U7" s="306"/>
      <c r="V7" s="306"/>
      <c r="W7" s="306"/>
      <c r="X7" s="306"/>
      <c r="Y7" s="306"/>
      <c r="Z7" s="306"/>
      <c r="AA7" s="306"/>
      <c r="AB7" s="306"/>
      <c r="AC7" s="306"/>
      <c r="AD7" s="306"/>
      <c r="AE7" s="306"/>
    </row>
    <row r="8" spans="1:31" ht="15">
      <c r="A8" s="1"/>
      <c r="B8" s="1"/>
      <c r="C8" s="1"/>
      <c r="D8" s="1"/>
      <c r="E8" s="1"/>
      <c r="F8" s="1"/>
      <c r="G8" s="122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2:31" ht="15.75">
      <c r="B9" s="307" t="s">
        <v>142</v>
      </c>
      <c r="C9" s="307"/>
      <c r="D9" s="307"/>
      <c r="E9" s="307"/>
      <c r="F9" s="307"/>
      <c r="G9" s="307"/>
      <c r="H9" s="307"/>
      <c r="I9" s="307"/>
      <c r="J9" s="307"/>
      <c r="K9" s="307"/>
      <c r="L9" s="307"/>
      <c r="M9" s="307"/>
      <c r="N9" s="307"/>
      <c r="O9" s="307"/>
      <c r="P9" s="307"/>
      <c r="Q9" s="307"/>
      <c r="R9" s="307"/>
      <c r="S9" s="307"/>
      <c r="T9" s="307"/>
      <c r="U9" s="307"/>
      <c r="V9" s="307"/>
      <c r="W9" s="307"/>
      <c r="X9" s="307"/>
      <c r="Y9" s="307"/>
      <c r="Z9" s="307"/>
      <c r="AA9" s="307"/>
      <c r="AB9" s="307"/>
      <c r="AC9" s="307"/>
      <c r="AD9" s="307"/>
      <c r="AE9" s="307"/>
    </row>
    <row r="10" spans="1:31" ht="20.25" customHeight="1">
      <c r="A10" s="83"/>
      <c r="B10" s="308"/>
      <c r="C10" s="309"/>
      <c r="D10" s="309"/>
      <c r="E10" s="309"/>
      <c r="F10" s="309"/>
      <c r="G10" s="310"/>
      <c r="H10" s="84"/>
      <c r="I10" s="311" t="s">
        <v>194</v>
      </c>
      <c r="J10" s="312"/>
      <c r="K10" s="312"/>
      <c r="L10" s="312"/>
      <c r="M10" s="312"/>
      <c r="N10" s="312"/>
      <c r="O10" s="312"/>
      <c r="P10" s="312"/>
      <c r="Q10" s="312"/>
      <c r="R10" s="312"/>
      <c r="S10" s="312"/>
      <c r="T10" s="312"/>
      <c r="U10" s="312"/>
      <c r="V10" s="312"/>
      <c r="W10" s="312"/>
      <c r="X10" s="312"/>
      <c r="Y10" s="312"/>
      <c r="Z10" s="312"/>
      <c r="AA10" s="312"/>
      <c r="AB10" s="313"/>
      <c r="AC10" s="311" t="s">
        <v>34</v>
      </c>
      <c r="AD10" s="313"/>
      <c r="AE10" s="180"/>
    </row>
    <row r="11" spans="1:31" ht="77.25" customHeight="1">
      <c r="A11" s="79" t="s">
        <v>154</v>
      </c>
      <c r="B11" s="15" t="s">
        <v>39</v>
      </c>
      <c r="C11" s="60" t="s">
        <v>41</v>
      </c>
      <c r="D11" s="40" t="s">
        <v>37</v>
      </c>
      <c r="E11" s="40" t="s">
        <v>36</v>
      </c>
      <c r="F11" s="40" t="s">
        <v>35</v>
      </c>
      <c r="G11" s="128" t="s">
        <v>149</v>
      </c>
      <c r="H11" s="61" t="s">
        <v>38</v>
      </c>
      <c r="I11" s="38" t="s">
        <v>17</v>
      </c>
      <c r="J11" s="38" t="s">
        <v>16</v>
      </c>
      <c r="K11" s="38" t="s">
        <v>19</v>
      </c>
      <c r="L11" s="38" t="s">
        <v>15</v>
      </c>
      <c r="M11" s="38" t="s">
        <v>30</v>
      </c>
      <c r="N11" s="38" t="s">
        <v>20</v>
      </c>
      <c r="O11" s="38" t="s">
        <v>26</v>
      </c>
      <c r="P11" s="38" t="s">
        <v>141</v>
      </c>
      <c r="Q11" s="38" t="s">
        <v>21</v>
      </c>
      <c r="R11" s="38" t="s">
        <v>29</v>
      </c>
      <c r="S11" s="38" t="s">
        <v>27</v>
      </c>
      <c r="T11" s="38" t="s">
        <v>25</v>
      </c>
      <c r="U11" s="38" t="s">
        <v>18</v>
      </c>
      <c r="V11" s="38" t="s">
        <v>140</v>
      </c>
      <c r="W11" s="38" t="s">
        <v>22</v>
      </c>
      <c r="X11" s="38" t="s">
        <v>23</v>
      </c>
      <c r="Y11" s="38" t="s">
        <v>24</v>
      </c>
      <c r="Z11" s="38" t="s">
        <v>184</v>
      </c>
      <c r="AA11" s="38" t="s">
        <v>192</v>
      </c>
      <c r="AB11" s="38" t="s">
        <v>193</v>
      </c>
      <c r="AC11" s="15" t="s">
        <v>9</v>
      </c>
      <c r="AD11" s="19" t="s">
        <v>32</v>
      </c>
      <c r="AE11" s="20" t="s">
        <v>150</v>
      </c>
    </row>
    <row r="12" spans="1:31" ht="18" customHeight="1">
      <c r="A12" s="173"/>
      <c r="B12" s="16">
        <f>_xlfn.IFERROR(VLOOKUP('Р-Ж-2п'!$A12,#REF!,2,0),0)</f>
        <v>0</v>
      </c>
      <c r="C12" s="71">
        <f>_xlfn.IFERROR(VLOOKUP('Р-Ж-2п'!$A12,#REF!,3,0),0)</f>
        <v>0</v>
      </c>
      <c r="D12" s="37">
        <v>0</v>
      </c>
      <c r="E12" s="37">
        <v>0</v>
      </c>
      <c r="F12" s="37"/>
      <c r="G12" s="73">
        <f>'Р-Ж-2п'!$E12-'Р-Ж-2п'!$D12</f>
        <v>0</v>
      </c>
      <c r="H12" s="16">
        <f>IF(TYPE(H11)=1,IF(H11=1,2,1),1)</f>
        <v>1</v>
      </c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16">
        <f>SUM('Р-Ж-2п'!$I12:$AB12)</f>
        <v>0</v>
      </c>
      <c r="AD12" s="7" t="e">
        <f>'Р-Ж-2п'!$AC12*ЦенаБалла</f>
        <v>#REF!</v>
      </c>
      <c r="AE12" s="6" t="e">
        <f>'Р-Ж-2п'!$G12+'Р-Ж-2п'!$AD12</f>
        <v>#REF!</v>
      </c>
    </row>
    <row r="13" spans="1:31" ht="15.75">
      <c r="A13" s="173"/>
      <c r="B13" s="16">
        <f>_xlfn.IFERROR(VLOOKUP('Р-Ж-2п'!$A13,#REF!,2,0),0)</f>
        <v>0</v>
      </c>
      <c r="C13" s="71">
        <f>_xlfn.IFERROR(VLOOKUP('Р-Ж-2п'!$A13,#REF!,3,0),0)</f>
        <v>0</v>
      </c>
      <c r="D13" s="37"/>
      <c r="E13" s="37"/>
      <c r="F13" s="37"/>
      <c r="G13" s="73">
        <f>'Р-Ж-2п'!$E13-'Р-Ж-2п'!$D13</f>
        <v>0</v>
      </c>
      <c r="H13" s="16">
        <f>IF(TYPE(H12)=1,IF(H12=1,2,1),1)</f>
        <v>2</v>
      </c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16">
        <f>SUM('Р-Ж-2п'!$I13:$AB13)</f>
        <v>0</v>
      </c>
      <c r="AD13" s="7" t="e">
        <f>'Р-Ж-2п'!$AC13*ЦенаБалла</f>
        <v>#REF!</v>
      </c>
      <c r="AE13" s="6" t="e">
        <f>'Р-Ж-2п'!$G13+'Р-Ж-2п'!$AD13</f>
        <v>#REF!</v>
      </c>
    </row>
    <row r="14" spans="1:31" ht="15.75">
      <c r="A14" s="173"/>
      <c r="B14" s="16">
        <f>_xlfn.IFERROR(VLOOKUP('Р-Ж-2п'!$A14,#REF!,2,0),0)</f>
        <v>0</v>
      </c>
      <c r="C14" s="71">
        <f>_xlfn.IFERROR(VLOOKUP('Р-Ж-2п'!$A14,#REF!,3,0),0)</f>
        <v>0</v>
      </c>
      <c r="D14" s="37"/>
      <c r="E14" s="37"/>
      <c r="F14" s="37"/>
      <c r="G14" s="73">
        <f>'Р-Ж-2п'!$E14-'Р-Ж-2п'!$D14</f>
        <v>0</v>
      </c>
      <c r="H14" s="16">
        <f>IF(TYPE(H13)=1,IF(H13=1,2,1),1)</f>
        <v>1</v>
      </c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16">
        <f>SUM('Р-Ж-2п'!$I14:$AB14)</f>
        <v>0</v>
      </c>
      <c r="AD14" s="7" t="e">
        <f>'Р-Ж-2п'!$AC14*ЦенаБалла</f>
        <v>#REF!</v>
      </c>
      <c r="AE14" s="6" t="e">
        <f>'Р-Ж-2п'!$G14+'Р-Ж-2п'!$AD14</f>
        <v>#REF!</v>
      </c>
    </row>
    <row r="15" spans="1:31" ht="15.75">
      <c r="A15" s="173"/>
      <c r="B15" s="16">
        <f>_xlfn.IFERROR(VLOOKUP('Р-Ж-2п'!$A15,#REF!,2,0),0)</f>
        <v>0</v>
      </c>
      <c r="C15" s="71">
        <f>_xlfn.IFERROR(VLOOKUP('Р-Ж-2п'!$A15,#REF!,3,0),0)</f>
        <v>0</v>
      </c>
      <c r="D15" s="37"/>
      <c r="E15" s="37"/>
      <c r="F15" s="37"/>
      <c r="G15" s="73">
        <f>'Р-Ж-2п'!$E15-'Р-Ж-2п'!$D15</f>
        <v>0</v>
      </c>
      <c r="H15" s="16">
        <f>IF(TYPE(H14)=1,IF(H14=1,2,1),1)</f>
        <v>2</v>
      </c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16">
        <f>SUM('Р-Ж-2п'!$I15:$AB15)</f>
        <v>0</v>
      </c>
      <c r="AD15" s="7" t="e">
        <f>'Р-Ж-2п'!$AC15*ЦенаБалла</f>
        <v>#REF!</v>
      </c>
      <c r="AE15" s="6" t="e">
        <f>'Р-Ж-2п'!$G15+'Р-Ж-2п'!$AD15</f>
        <v>#REF!</v>
      </c>
    </row>
    <row r="16" spans="1:31" ht="15.75">
      <c r="A16" s="173"/>
      <c r="B16" s="16">
        <f>_xlfn.IFERROR(VLOOKUP('Р-Ж-2п'!$A16,#REF!,2,0),0)</f>
        <v>0</v>
      </c>
      <c r="C16" s="71">
        <f>_xlfn.IFERROR(VLOOKUP('Р-Ж-2п'!$A16,#REF!,3,0),0)</f>
        <v>0</v>
      </c>
      <c r="D16" s="37"/>
      <c r="E16" s="37"/>
      <c r="F16" s="37"/>
      <c r="G16" s="73">
        <f>'Р-Ж-2п'!$E16-'Р-Ж-2п'!$D16</f>
        <v>0</v>
      </c>
      <c r="H16" s="16">
        <f>IF(TYPE(#REF!)=1,IF(#REF!=1,2,1),1)</f>
        <v>1</v>
      </c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16">
        <f>SUM('Р-Ж-2п'!$I16:$AB16)</f>
        <v>0</v>
      </c>
      <c r="AD16" s="7" t="e">
        <f>'Р-Ж-2п'!$AC16*ЦенаБалла</f>
        <v>#REF!</v>
      </c>
      <c r="AE16" s="6" t="e">
        <f>'Р-Ж-2п'!$G16+'Р-Ж-2п'!$AD16</f>
        <v>#REF!</v>
      </c>
    </row>
    <row r="17" spans="1:31" ht="15.75">
      <c r="A17" s="173"/>
      <c r="B17" s="16">
        <f>_xlfn.IFERROR(VLOOKUP('Р-Ж-2п'!$A17,#REF!,2,0),0)</f>
        <v>0</v>
      </c>
      <c r="C17" s="71">
        <f>_xlfn.IFERROR(VLOOKUP('Р-Ж-2п'!$A17,#REF!,3,0),0)</f>
        <v>0</v>
      </c>
      <c r="D17" s="37"/>
      <c r="E17" s="37"/>
      <c r="F17" s="37"/>
      <c r="G17" s="73">
        <f>'Р-Ж-2п'!$E17-'Р-Ж-2п'!$D17</f>
        <v>0</v>
      </c>
      <c r="H17" s="16">
        <f aca="true" t="shared" si="0" ref="H17:H26">IF(TYPE(H16)=1,IF(H16=1,2,1),1)</f>
        <v>2</v>
      </c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16">
        <f>SUM('Р-Ж-2п'!$I17:$AB17)</f>
        <v>0</v>
      </c>
      <c r="AD17" s="7" t="e">
        <f>'Р-Ж-2п'!$AC17*ЦенаБалла</f>
        <v>#REF!</v>
      </c>
      <c r="AE17" s="6" t="e">
        <f>'Р-Ж-2п'!$G17+'Р-Ж-2п'!$AD17</f>
        <v>#REF!</v>
      </c>
    </row>
    <row r="18" spans="1:31" ht="15.75">
      <c r="A18" s="173"/>
      <c r="B18" s="16">
        <f>_xlfn.IFERROR(VLOOKUP('Р-Ж-2п'!$A18,#REF!,2,0),0)</f>
        <v>0</v>
      </c>
      <c r="C18" s="71">
        <f>_xlfn.IFERROR(VLOOKUP('Р-Ж-2п'!$A18,#REF!,3,0),0)</f>
        <v>0</v>
      </c>
      <c r="D18" s="37"/>
      <c r="E18" s="37"/>
      <c r="F18" s="37"/>
      <c r="G18" s="73">
        <f>'Р-Ж-2п'!$E18-'Р-Ж-2п'!$D18</f>
        <v>0</v>
      </c>
      <c r="H18" s="16">
        <f t="shared" si="0"/>
        <v>1</v>
      </c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16">
        <f>SUM('Р-Ж-2п'!$I18:$AB18)</f>
        <v>0</v>
      </c>
      <c r="AD18" s="7" t="e">
        <f>'Р-Ж-2п'!$AC18*ЦенаБалла</f>
        <v>#REF!</v>
      </c>
      <c r="AE18" s="6" t="e">
        <f>'Р-Ж-2п'!$G18+'Р-Ж-2п'!$AD18</f>
        <v>#REF!</v>
      </c>
    </row>
    <row r="19" spans="1:31" ht="15.75">
      <c r="A19" s="173"/>
      <c r="B19" s="110">
        <f>_xlfn.IFERROR(VLOOKUP('Р-Ж-2п'!$A19,#REF!,2,0),0)</f>
        <v>0</v>
      </c>
      <c r="C19" s="109">
        <f>_xlfn.IFERROR(VLOOKUP('Р-Ж-2п'!$A19,#REF!,3,0),0)</f>
        <v>0</v>
      </c>
      <c r="D19" s="37"/>
      <c r="E19" s="37"/>
      <c r="F19" s="37"/>
      <c r="G19" s="73">
        <f>'Р-Ж-2п'!$E19-'Р-Ж-2п'!$D19</f>
        <v>0</v>
      </c>
      <c r="H19" s="110">
        <f t="shared" si="0"/>
        <v>2</v>
      </c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107"/>
      <c r="AC19" s="110">
        <f>SUM('Р-Ж-2п'!$I19:$AB19)</f>
        <v>0</v>
      </c>
      <c r="AD19" s="106" t="e">
        <f>'Р-Ж-2п'!$AC19*ЦенаБалла</f>
        <v>#REF!</v>
      </c>
      <c r="AE19" s="117" t="e">
        <f>'Р-Ж-2п'!$G19+'Р-Ж-2п'!$AD19</f>
        <v>#REF!</v>
      </c>
    </row>
    <row r="20" spans="1:31" s="14" customFormat="1" ht="15" customHeight="1">
      <c r="A20" s="173"/>
      <c r="B20" s="18">
        <f>_xlfn.IFERROR(VLOOKUP('Р-Ж-2п'!$A20,#REF!,2,0),0)</f>
        <v>0</v>
      </c>
      <c r="C20" s="72">
        <f>_xlfn.IFERROR(VLOOKUP('Р-Ж-2п'!$A20,#REF!,3,0),0)</f>
        <v>0</v>
      </c>
      <c r="D20" s="37"/>
      <c r="E20" s="37"/>
      <c r="F20" s="37"/>
      <c r="G20" s="73">
        <f>'Р-Ж-2п'!$E20-'Р-Ж-2п'!$D20</f>
        <v>0</v>
      </c>
      <c r="H20" s="18">
        <f t="shared" si="0"/>
        <v>1</v>
      </c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18">
        <f>SUM('Р-Ж-2п'!$I20:$AB20)</f>
        <v>0</v>
      </c>
      <c r="AD20" s="17" t="e">
        <f>'Р-Ж-2п'!$AC20*ЦенаБалла</f>
        <v>#REF!</v>
      </c>
      <c r="AE20" s="7" t="e">
        <f>'Р-Ж-2п'!$G20+'Р-Ж-2п'!$AD20</f>
        <v>#REF!</v>
      </c>
    </row>
    <row r="21" spans="1:31" s="14" customFormat="1" ht="15" customHeight="1">
      <c r="A21" s="173"/>
      <c r="B21" s="16">
        <f>_xlfn.IFERROR(VLOOKUP('Р-Ж-2п'!$A21,#REF!,2,0),0)</f>
        <v>0</v>
      </c>
      <c r="C21" s="71">
        <f>_xlfn.IFERROR(VLOOKUP('Р-Ж-2п'!$A21,#REF!,3,0),0)</f>
        <v>0</v>
      </c>
      <c r="D21" s="37"/>
      <c r="E21" s="37"/>
      <c r="F21" s="37"/>
      <c r="G21" s="73">
        <f>'Р-Ж-2п'!$E21-'Р-Ж-2п'!$D21</f>
        <v>0</v>
      </c>
      <c r="H21" s="16">
        <f t="shared" si="0"/>
        <v>2</v>
      </c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16">
        <f>SUM('Р-Ж-2п'!$I21:$AB21)</f>
        <v>0</v>
      </c>
      <c r="AD21" s="17" t="e">
        <f>'Р-Ж-2п'!$AC21*ЦенаБалла</f>
        <v>#REF!</v>
      </c>
      <c r="AE21" s="6" t="e">
        <f>'Р-Ж-2п'!$G21+'Р-Ж-2п'!$AD21</f>
        <v>#REF!</v>
      </c>
    </row>
    <row r="22" spans="1:31" s="14" customFormat="1" ht="15" customHeight="1">
      <c r="A22" s="173"/>
      <c r="B22" s="110">
        <f>_xlfn.IFERROR(VLOOKUP('Р-Ж-2п'!$A22,#REF!,2,0),0)</f>
        <v>0</v>
      </c>
      <c r="C22" s="109">
        <f>_xlfn.IFERROR(VLOOKUP('Р-Ж-2п'!$A22,#REF!,3,0),0)</f>
        <v>0</v>
      </c>
      <c r="D22" s="37"/>
      <c r="E22" s="37"/>
      <c r="F22" s="108"/>
      <c r="G22" s="73">
        <f>'Р-Ж-2п'!$E22-'Р-Ж-2п'!$D22</f>
        <v>0</v>
      </c>
      <c r="H22" s="110">
        <f t="shared" si="0"/>
        <v>1</v>
      </c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107"/>
      <c r="AC22" s="110">
        <f>SUM('Р-Ж-2п'!$I22:$AB22)</f>
        <v>0</v>
      </c>
      <c r="AD22" s="106" t="e">
        <f>'Р-Ж-2п'!$AC22*ЦенаБалла</f>
        <v>#REF!</v>
      </c>
      <c r="AE22" s="117" t="e">
        <f>'Р-Ж-2п'!$G22+'Р-Ж-2п'!$AD22</f>
        <v>#REF!</v>
      </c>
    </row>
    <row r="23" spans="1:31" s="14" customFormat="1" ht="15.75">
      <c r="A23" s="183"/>
      <c r="B23" s="184">
        <f>_xlfn.IFERROR(VLOOKUP('Р-Ж-2п'!$A23,#REF!,2,0),0)</f>
        <v>0</v>
      </c>
      <c r="C23" s="186">
        <f>_xlfn.IFERROR(VLOOKUP('Р-Ж-2п'!$A23,#REF!,3,0),0)</f>
        <v>0</v>
      </c>
      <c r="D23" s="188"/>
      <c r="E23" s="188"/>
      <c r="F23" s="188"/>
      <c r="G23" s="194">
        <f>'Р-Ж-2п'!$E23-'Р-Ж-2п'!$D23</f>
        <v>0</v>
      </c>
      <c r="H23" s="185">
        <f t="shared" si="0"/>
        <v>2</v>
      </c>
      <c r="I23" s="190"/>
      <c r="J23" s="190"/>
      <c r="K23" s="190"/>
      <c r="L23" s="190"/>
      <c r="M23" s="190"/>
      <c r="N23" s="190"/>
      <c r="O23" s="190"/>
      <c r="P23" s="190"/>
      <c r="Q23" s="190"/>
      <c r="R23" s="190"/>
      <c r="S23" s="190"/>
      <c r="T23" s="190"/>
      <c r="U23" s="190"/>
      <c r="V23" s="191"/>
      <c r="W23" s="191"/>
      <c r="X23" s="191"/>
      <c r="Y23" s="191"/>
      <c r="Z23" s="191"/>
      <c r="AA23" s="191"/>
      <c r="AB23" s="191"/>
      <c r="AC23" s="185">
        <f>SUM('Р-Ж-2п'!$I23:$AB23)</f>
        <v>0</v>
      </c>
      <c r="AD23" s="192" t="e">
        <f>'Р-Ж-2п'!$AC23*ЦенаБалла</f>
        <v>#REF!</v>
      </c>
      <c r="AE23" s="193" t="e">
        <f>'Р-Ж-2п'!$G23+'Р-Ж-2п'!$AD23</f>
        <v>#REF!</v>
      </c>
    </row>
    <row r="24" spans="1:31" ht="15.75">
      <c r="A24" s="183"/>
      <c r="B24" s="185">
        <f>_xlfn.IFERROR(VLOOKUP('Р-Ж-2п'!$A24,#REF!,2,0),0)</f>
        <v>0</v>
      </c>
      <c r="C24" s="187">
        <f>_xlfn.IFERROR(VLOOKUP('Р-Ж-2п'!$A24,#REF!,3,0),0)</f>
        <v>0</v>
      </c>
      <c r="D24" s="189"/>
      <c r="E24" s="189"/>
      <c r="F24" s="189"/>
      <c r="G24" s="73">
        <f>'Р-Ж-2п'!$E24-'Р-Ж-2п'!$D24</f>
        <v>0</v>
      </c>
      <c r="H24" s="185">
        <f t="shared" si="0"/>
        <v>1</v>
      </c>
      <c r="I24" s="191"/>
      <c r="J24" s="191"/>
      <c r="K24" s="191"/>
      <c r="L24" s="191"/>
      <c r="M24" s="191"/>
      <c r="N24" s="191"/>
      <c r="O24" s="191"/>
      <c r="P24" s="191"/>
      <c r="Q24" s="191"/>
      <c r="R24" s="191"/>
      <c r="S24" s="191"/>
      <c r="T24" s="191"/>
      <c r="U24" s="191"/>
      <c r="V24" s="191"/>
      <c r="W24" s="191"/>
      <c r="X24" s="191"/>
      <c r="Y24" s="191"/>
      <c r="Z24" s="191"/>
      <c r="AA24" s="191"/>
      <c r="AB24" s="191"/>
      <c r="AC24" s="185">
        <f>SUM('Р-Ж-2п'!$I24:$AB24)</f>
        <v>0</v>
      </c>
      <c r="AD24" s="192" t="e">
        <f>'Р-Ж-2п'!$AC24*ЦенаБалла</f>
        <v>#REF!</v>
      </c>
      <c r="AE24" s="193" t="e">
        <f>'Р-Ж-2п'!$G24+'Р-Ж-2п'!$AD24</f>
        <v>#REF!</v>
      </c>
    </row>
    <row r="25" spans="1:31" ht="15.75">
      <c r="A25" s="183"/>
      <c r="B25" s="185">
        <f>_xlfn.IFERROR(VLOOKUP('Р-Ж-2п'!$A25,#REF!,2,0),0)</f>
        <v>0</v>
      </c>
      <c r="C25" s="187">
        <f>_xlfn.IFERROR(VLOOKUP('Р-Ж-2п'!$A25,#REF!,3,0),0)</f>
        <v>0</v>
      </c>
      <c r="D25" s="189"/>
      <c r="E25" s="189"/>
      <c r="F25" s="189"/>
      <c r="G25" s="73">
        <f>'Р-Ж-2п'!$E25-'Р-Ж-2п'!$D25</f>
        <v>0</v>
      </c>
      <c r="H25" s="185">
        <f t="shared" si="0"/>
        <v>2</v>
      </c>
      <c r="I25" s="191"/>
      <c r="J25" s="191"/>
      <c r="K25" s="191"/>
      <c r="L25" s="191"/>
      <c r="M25" s="191"/>
      <c r="N25" s="191"/>
      <c r="O25" s="191"/>
      <c r="P25" s="191"/>
      <c r="Q25" s="191"/>
      <c r="R25" s="191"/>
      <c r="S25" s="191"/>
      <c r="T25" s="191"/>
      <c r="U25" s="191"/>
      <c r="V25" s="191"/>
      <c r="W25" s="191"/>
      <c r="X25" s="191"/>
      <c r="Y25" s="191"/>
      <c r="Z25" s="191"/>
      <c r="AA25" s="191"/>
      <c r="AB25" s="191"/>
      <c r="AC25" s="185">
        <f>SUM('Р-Ж-2п'!$I25:$AB25)</f>
        <v>0</v>
      </c>
      <c r="AD25" s="192" t="e">
        <f>'Р-Ж-2п'!$AC25*ЦенаБалла</f>
        <v>#REF!</v>
      </c>
      <c r="AE25" s="193" t="e">
        <f>'Р-Ж-2п'!$G25+'Р-Ж-2п'!$AD25</f>
        <v>#REF!</v>
      </c>
    </row>
    <row r="26" spans="1:31" ht="15.75">
      <c r="A26" s="183"/>
      <c r="B26" s="185">
        <f>_xlfn.IFERROR(VLOOKUP('Р-Ж-2п'!$A26,#REF!,2,0),0)</f>
        <v>0</v>
      </c>
      <c r="C26" s="187">
        <f>_xlfn.IFERROR(VLOOKUP('Р-Ж-2п'!$A26,#REF!,3,0),0)</f>
        <v>0</v>
      </c>
      <c r="D26" s="189"/>
      <c r="E26" s="189"/>
      <c r="F26" s="189"/>
      <c r="G26" s="73">
        <f>'Р-Ж-2п'!$E26-'Р-Ж-2п'!$D26</f>
        <v>0</v>
      </c>
      <c r="H26" s="185">
        <f t="shared" si="0"/>
        <v>1</v>
      </c>
      <c r="I26" s="191"/>
      <c r="J26" s="191"/>
      <c r="K26" s="191"/>
      <c r="L26" s="191"/>
      <c r="M26" s="191"/>
      <c r="N26" s="191"/>
      <c r="O26" s="191"/>
      <c r="P26" s="191"/>
      <c r="Q26" s="191"/>
      <c r="R26" s="191"/>
      <c r="S26" s="191"/>
      <c r="T26" s="191"/>
      <c r="U26" s="191"/>
      <c r="V26" s="191"/>
      <c r="W26" s="191"/>
      <c r="X26" s="191"/>
      <c r="Y26" s="191"/>
      <c r="Z26" s="191"/>
      <c r="AA26" s="191"/>
      <c r="AB26" s="191"/>
      <c r="AC26" s="185">
        <f>SUM('Р-Ж-2п'!$I26:$AB26)</f>
        <v>0</v>
      </c>
      <c r="AD26" s="192" t="e">
        <f>'Р-Ж-2п'!$AC26*ЦенаБалла</f>
        <v>#REF!</v>
      </c>
      <c r="AE26" s="193" t="e">
        <f>'Р-Ж-2п'!$G26+'Р-Ж-2п'!$AD26</f>
        <v>#REF!</v>
      </c>
    </row>
    <row r="27" spans="2:32" ht="15.75">
      <c r="B27" s="82" t="s">
        <v>7</v>
      </c>
      <c r="C27" s="82"/>
      <c r="D27" s="304"/>
      <c r="E27" s="304"/>
      <c r="G27" s="123"/>
      <c r="H27" s="10"/>
      <c r="I27" s="14"/>
      <c r="J27" s="54" t="e">
        <f>фиосудья</f>
        <v>#REF!</v>
      </c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</row>
    <row r="28" spans="2:32" ht="15.75">
      <c r="B28" s="82" t="s">
        <v>6</v>
      </c>
      <c r="C28" s="82"/>
      <c r="D28" s="179"/>
      <c r="E28" s="179"/>
      <c r="F28" s="11"/>
      <c r="G28" s="124"/>
      <c r="H28" s="11"/>
      <c r="I28" s="14"/>
      <c r="J28" s="12" t="e">
        <f>фиосекретарь</f>
        <v>#REF!</v>
      </c>
      <c r="K28" s="12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</row>
    <row r="29" spans="2:11" ht="15">
      <c r="B29" s="303" t="e">
        <f>дата_протокол</f>
        <v>#REF!</v>
      </c>
      <c r="C29" s="303"/>
      <c r="D29" s="304"/>
      <c r="E29" s="304"/>
      <c r="I29" s="14"/>
      <c r="J29" s="14"/>
      <c r="K29" s="14"/>
    </row>
  </sheetData>
  <sheetProtection/>
  <mergeCells count="19">
    <mergeCell ref="B29:C29"/>
    <mergeCell ref="D29:E29"/>
    <mergeCell ref="B5:C5"/>
    <mergeCell ref="D5:AE5"/>
    <mergeCell ref="B6:C6"/>
    <mergeCell ref="D6:AE6"/>
    <mergeCell ref="B7:C7"/>
    <mergeCell ref="D7:AE7"/>
    <mergeCell ref="B9:AE9"/>
    <mergeCell ref="B10:G10"/>
    <mergeCell ref="I10:AB10"/>
    <mergeCell ref="AC10:AD10"/>
    <mergeCell ref="D27:E27"/>
    <mergeCell ref="B1:C2"/>
    <mergeCell ref="D1:AE2"/>
    <mergeCell ref="B3:C3"/>
    <mergeCell ref="D3:AE3"/>
    <mergeCell ref="B4:C4"/>
    <mergeCell ref="D4:AE4"/>
  </mergeCells>
  <dataValidations count="3">
    <dataValidation type="whole" operator="greaterThan" allowBlank="1" showErrorMessage="1" errorTitle="Внимание!" error="Данные в этой ячейке должны быть целым числом без любых дополнительных знаков." sqref="B12:B26">
      <formula1>0</formula1>
    </dataValidation>
    <dataValidation type="list" allowBlank="1" showInputMessage="1" showErrorMessage="1" sqref="D4">
      <formula1>дисциплины</formula1>
    </dataValidation>
    <dataValidation type="time" operator="greaterThanOrEqual" allowBlank="1" showInputMessage="1" showErrorMessage="1" sqref="E22:E26 G12:G26 D22:D23 D12:E21">
      <formula1>0</formula1>
    </dataValidation>
  </dataValidations>
  <printOptions/>
  <pageMargins left="0.5905511811023623" right="0.5905511811023623" top="0.5905511811023623" bottom="0.5905511811023623" header="0" footer="0"/>
  <pageSetup fitToHeight="1" fitToWidth="1" horizontalDpi="300" verticalDpi="300" orientation="landscape" paperSize="9" scale="67" r:id="rId5"/>
  <drawing r:id="rId4"/>
  <legacyDrawing r:id="rId2"/>
  <tableParts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S36"/>
  <sheetViews>
    <sheetView zoomScalePageLayoutView="0" workbookViewId="0" topLeftCell="A1">
      <selection activeCell="F30" sqref="F30"/>
    </sheetView>
  </sheetViews>
  <sheetFormatPr defaultColWidth="9.140625" defaultRowHeight="15"/>
  <cols>
    <col min="1" max="1" width="10.28125" style="14" customWidth="1"/>
    <col min="2" max="2" width="7.8515625" style="14" customWidth="1"/>
    <col min="3" max="3" width="11.421875" style="14" customWidth="1"/>
    <col min="4" max="5" width="11.7109375" style="14" customWidth="1"/>
    <col min="6" max="6" width="10.00390625" style="14" customWidth="1"/>
    <col min="7" max="7" width="12.00390625" style="179" customWidth="1"/>
    <col min="8" max="8" width="12.421875" style="14" customWidth="1"/>
    <col min="9" max="9" width="12.7109375" style="14" customWidth="1" collapsed="1"/>
    <col min="10" max="10" width="12.7109375" style="14" customWidth="1"/>
    <col min="11" max="11" width="12.7109375" style="14" customWidth="1" collapsed="1"/>
    <col min="12" max="12" width="19.140625" style="14" customWidth="1" collapsed="1"/>
    <col min="13" max="14" width="9.140625" style="14" customWidth="1" collapsed="1"/>
    <col min="15" max="15" width="16.421875" style="14" customWidth="1"/>
    <col min="16" max="18" width="9.140625" style="14" customWidth="1"/>
    <col min="19" max="19" width="17.140625" style="14" customWidth="1"/>
    <col min="20" max="16384" width="9.140625" style="14" customWidth="1"/>
  </cols>
  <sheetData>
    <row r="1" spans="1:15" ht="15.75">
      <c r="A1" s="80"/>
      <c r="B1" s="80"/>
      <c r="C1" s="80"/>
      <c r="D1" s="199"/>
      <c r="E1" s="199"/>
      <c r="F1" s="199"/>
      <c r="G1" s="199"/>
      <c r="H1" s="199"/>
      <c r="I1" s="199"/>
      <c r="J1" s="199"/>
      <c r="K1" s="199"/>
      <c r="L1" s="199"/>
      <c r="O1" s="200"/>
    </row>
    <row r="2" spans="1:15" ht="15.75">
      <c r="A2" s="80"/>
      <c r="B2" s="80"/>
      <c r="C2" s="80"/>
      <c r="D2" s="199"/>
      <c r="E2" s="199"/>
      <c r="F2" s="199"/>
      <c r="G2" s="199"/>
      <c r="H2" s="199"/>
      <c r="I2" s="199"/>
      <c r="J2" s="199"/>
      <c r="K2" s="199"/>
      <c r="L2" s="199"/>
      <c r="O2" s="201"/>
    </row>
    <row r="3" spans="2:12" ht="15.75">
      <c r="B3" s="202"/>
      <c r="C3" s="202"/>
      <c r="D3" s="203"/>
      <c r="E3" s="203"/>
      <c r="F3" s="203"/>
      <c r="G3" s="203"/>
      <c r="H3" s="203"/>
      <c r="I3" s="203"/>
      <c r="J3" s="203"/>
      <c r="K3" s="203"/>
      <c r="L3" s="203"/>
    </row>
    <row r="4" spans="2:15" ht="15.75" customHeight="1">
      <c r="B4" s="203"/>
      <c r="C4" s="203"/>
      <c r="D4" s="204"/>
      <c r="E4" s="204"/>
      <c r="F4" s="204"/>
      <c r="G4" s="204"/>
      <c r="H4" s="204"/>
      <c r="I4" s="204"/>
      <c r="J4" s="204"/>
      <c r="K4" s="204"/>
      <c r="L4" s="204"/>
      <c r="O4" s="205"/>
    </row>
    <row r="5" spans="2:15" ht="15.75">
      <c r="B5" s="203"/>
      <c r="C5" s="203"/>
      <c r="D5" s="206"/>
      <c r="E5" s="206"/>
      <c r="F5" s="206"/>
      <c r="G5" s="206"/>
      <c r="H5" s="206"/>
      <c r="I5" s="206"/>
      <c r="J5" s="206"/>
      <c r="K5" s="206"/>
      <c r="L5" s="206"/>
      <c r="O5" s="201"/>
    </row>
    <row r="6" spans="2:19" ht="15.75" customHeight="1"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203"/>
      <c r="O6" s="86"/>
      <c r="P6" s="86"/>
      <c r="Q6" s="86"/>
      <c r="R6" s="86"/>
      <c r="S6" s="207"/>
    </row>
    <row r="7" spans="2:19" ht="16.5" customHeight="1"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03"/>
      <c r="O7" s="85"/>
      <c r="P7" s="179"/>
      <c r="Q7" s="179"/>
      <c r="R7" s="179"/>
      <c r="S7" s="86"/>
    </row>
    <row r="8" spans="1:19" ht="15.75" customHeight="1">
      <c r="A8" s="13"/>
      <c r="B8" s="13"/>
      <c r="C8" s="13"/>
      <c r="D8" s="13"/>
      <c r="E8" s="13"/>
      <c r="F8" s="13"/>
      <c r="G8" s="13"/>
      <c r="H8" s="13"/>
      <c r="I8" s="13"/>
      <c r="J8" s="23"/>
      <c r="K8" s="23"/>
      <c r="L8" s="3"/>
      <c r="O8" s="85"/>
      <c r="P8" s="179"/>
      <c r="Q8" s="179"/>
      <c r="R8" s="179"/>
      <c r="S8" s="86"/>
    </row>
    <row r="9" spans="1:12" ht="15">
      <c r="A9" s="3"/>
      <c r="B9" s="3"/>
      <c r="C9" s="3"/>
      <c r="D9" s="3"/>
      <c r="E9" s="3"/>
      <c r="F9" s="3"/>
      <c r="G9" s="5"/>
      <c r="H9" s="3"/>
      <c r="I9" s="3"/>
      <c r="J9" s="3"/>
      <c r="K9" s="3"/>
      <c r="L9" s="3"/>
    </row>
    <row r="10" spans="1:12" ht="15.75">
      <c r="A10" s="208"/>
      <c r="B10" s="208"/>
      <c r="C10" s="208"/>
      <c r="D10" s="208"/>
      <c r="E10" s="208"/>
      <c r="F10" s="208"/>
      <c r="G10" s="208"/>
      <c r="H10" s="208"/>
      <c r="I10" s="208"/>
      <c r="J10" s="208"/>
      <c r="K10" s="208"/>
      <c r="L10" s="208"/>
    </row>
    <row r="11" spans="1:13" ht="15.75">
      <c r="A11" s="209"/>
      <c r="B11" s="210"/>
      <c r="C11" s="211"/>
      <c r="D11" s="212"/>
      <c r="E11" s="212"/>
      <c r="F11" s="213"/>
      <c r="G11" s="214"/>
      <c r="H11" s="215"/>
      <c r="I11" s="216"/>
      <c r="J11" s="216"/>
      <c r="K11" s="216"/>
      <c r="L11" s="217"/>
      <c r="M11" s="218"/>
    </row>
    <row r="12" spans="1:13" ht="18" customHeight="1">
      <c r="A12" s="219"/>
      <c r="B12" s="75"/>
      <c r="C12" s="220"/>
      <c r="D12" s="89"/>
      <c r="E12" s="89"/>
      <c r="F12" s="221"/>
      <c r="G12" s="222"/>
      <c r="H12" s="90"/>
      <c r="I12" s="223"/>
      <c r="J12" s="224"/>
      <c r="K12" s="225"/>
      <c r="L12" s="226"/>
      <c r="M12" s="227"/>
    </row>
    <row r="13" spans="1:13" ht="15.75">
      <c r="A13" s="219"/>
      <c r="B13" s="75"/>
      <c r="C13" s="220"/>
      <c r="D13" s="89"/>
      <c r="E13" s="89"/>
      <c r="F13" s="221"/>
      <c r="G13" s="222"/>
      <c r="H13" s="90"/>
      <c r="I13" s="223"/>
      <c r="J13" s="224"/>
      <c r="K13" s="225"/>
      <c r="L13" s="226"/>
      <c r="M13" s="227"/>
    </row>
    <row r="14" spans="1:13" ht="15.75">
      <c r="A14" s="219"/>
      <c r="B14" s="75"/>
      <c r="C14" s="220"/>
      <c r="D14" s="89"/>
      <c r="E14" s="89"/>
      <c r="F14" s="221"/>
      <c r="G14" s="222"/>
      <c r="H14" s="90"/>
      <c r="I14" s="223"/>
      <c r="J14" s="224"/>
      <c r="K14" s="225"/>
      <c r="L14" s="226"/>
      <c r="M14" s="227"/>
    </row>
    <row r="15" spans="1:13" ht="15.75">
      <c r="A15" s="219"/>
      <c r="B15" s="75"/>
      <c r="C15" s="220"/>
      <c r="D15" s="89"/>
      <c r="E15" s="89"/>
      <c r="F15" s="221"/>
      <c r="G15" s="222"/>
      <c r="H15" s="90"/>
      <c r="I15" s="223"/>
      <c r="J15" s="224"/>
      <c r="K15" s="225"/>
      <c r="L15" s="226"/>
      <c r="M15" s="227"/>
    </row>
    <row r="16" spans="1:13" ht="15.75">
      <c r="A16" s="219"/>
      <c r="B16" s="75"/>
      <c r="C16" s="220"/>
      <c r="D16" s="89"/>
      <c r="E16" s="89"/>
      <c r="F16" s="221"/>
      <c r="G16" s="222"/>
      <c r="H16" s="90"/>
      <c r="I16" s="223"/>
      <c r="J16" s="224"/>
      <c r="K16" s="225"/>
      <c r="L16" s="226"/>
      <c r="M16" s="227"/>
    </row>
    <row r="17" spans="1:12" ht="25.5" customHeight="1">
      <c r="A17" s="228"/>
      <c r="B17" s="228"/>
      <c r="C17" s="228"/>
      <c r="D17" s="228"/>
      <c r="E17" s="228"/>
      <c r="F17" s="228"/>
      <c r="G17" s="29"/>
      <c r="H17" s="29"/>
      <c r="I17" s="29"/>
      <c r="J17" s="29"/>
      <c r="K17" s="29"/>
      <c r="L17" s="29"/>
    </row>
    <row r="18" spans="1:12" ht="24" customHeight="1">
      <c r="A18" s="228"/>
      <c r="B18" s="228"/>
      <c r="C18" s="228"/>
      <c r="D18" s="228"/>
      <c r="E18" s="228"/>
      <c r="F18" s="228"/>
      <c r="G18" s="29"/>
      <c r="H18" s="29"/>
      <c r="I18" s="29"/>
      <c r="J18" s="29"/>
      <c r="K18" s="29"/>
      <c r="L18" s="29"/>
    </row>
    <row r="19" spans="1:12" ht="24" customHeight="1">
      <c r="A19" s="26"/>
      <c r="B19" s="26"/>
      <c r="C19" s="27"/>
      <c r="D19" s="28"/>
      <c r="E19" s="9"/>
      <c r="G19" s="29"/>
      <c r="H19" s="29"/>
      <c r="I19" s="29"/>
      <c r="J19" s="29"/>
      <c r="K19" s="29"/>
      <c r="L19" s="29"/>
    </row>
    <row r="20" spans="1:12" ht="24" customHeight="1">
      <c r="A20" s="26"/>
      <c r="B20" s="26"/>
      <c r="C20" s="27"/>
      <c r="D20" s="28"/>
      <c r="E20" s="9"/>
      <c r="G20" s="29"/>
      <c r="H20" s="29"/>
      <c r="I20" s="29"/>
      <c r="J20" s="29"/>
      <c r="K20" s="29"/>
      <c r="L20" s="29"/>
    </row>
    <row r="21" spans="1:11" ht="15">
      <c r="A21" s="9"/>
      <c r="B21" s="9"/>
      <c r="C21" s="9"/>
      <c r="D21" s="9"/>
      <c r="E21" s="9"/>
      <c r="F21" s="3"/>
      <c r="G21" s="5"/>
      <c r="H21" s="3"/>
      <c r="I21" s="3"/>
      <c r="J21" s="3"/>
      <c r="K21" s="3"/>
    </row>
    <row r="22" spans="1:6" ht="15.75">
      <c r="A22" s="80"/>
      <c r="B22" s="80"/>
      <c r="C22" s="80"/>
      <c r="D22" s="197"/>
      <c r="E22" s="197"/>
      <c r="F22" s="54"/>
    </row>
    <row r="23" spans="1:6" ht="15.75">
      <c r="A23" s="80"/>
      <c r="B23" s="80"/>
      <c r="C23" s="80"/>
      <c r="D23" s="179"/>
      <c r="E23" s="179"/>
      <c r="F23" s="12"/>
    </row>
    <row r="24" spans="1:5" ht="15">
      <c r="A24" s="198"/>
      <c r="B24" s="198"/>
      <c r="C24" s="198"/>
      <c r="D24" s="197"/>
      <c r="E24" s="197"/>
    </row>
    <row r="28" spans="1:6" ht="15">
      <c r="A28" s="179"/>
      <c r="B28" s="179"/>
      <c r="F28" s="179"/>
    </row>
    <row r="36" ht="15">
      <c r="F36" s="9"/>
    </row>
  </sheetData>
  <sheetProtection/>
  <dataValidations count="7">
    <dataValidation type="time" operator="greaterThanOrEqual" allowBlank="1" showInputMessage="1" sqref="E12">
      <formula1>0</formula1>
    </dataValidation>
    <dataValidation errorStyle="information" type="time" operator="greaterThanOrEqual" allowBlank="1" errorTitle="сообщениеаа" sqref="D12">
      <formula1>0</formula1>
    </dataValidation>
    <dataValidation type="list" allowBlank="1" showInputMessage="1" showErrorMessage="1" sqref="D4">
      <formula1>дисциплины</formula1>
    </dataValidation>
    <dataValidation type="time" operator="greaterThanOrEqual" allowBlank="1" showInputMessage="1" showErrorMessage="1" sqref="D13:D16">
      <formula1>0</formula1>
    </dataValidation>
    <dataValidation type="whole" operator="greaterThan" allowBlank="1" showErrorMessage="1" errorTitle="Внимание!" error="Данные в этой ячейке должны быть целым числом без любых дополнительных знаков." sqref="B12:B16">
      <formula1>0</formula1>
    </dataValidation>
    <dataValidation type="list" allowBlank="1" showInputMessage="1" showErrorMessage="1" sqref="O5">
      <formula1>вид_участия</formula1>
    </dataValidation>
    <dataValidation type="list" allowBlank="1" showInputMessage="1" showErrorMessage="1" sqref="O2">
      <formula1>дистанцииБаллы</formula1>
    </dataValidation>
  </dataValidations>
  <printOptions/>
  <pageMargins left="0.5905511811023623" right="0.5905511811023623" top="0.5905511811023623" bottom="0.5905511811023623" header="0" footer="0"/>
  <pageSetup fitToHeight="1" fitToWidth="1" horizontalDpi="300" verticalDpi="300" orientation="landscape" paperSize="9" scale="98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S45"/>
  <sheetViews>
    <sheetView zoomScalePageLayoutView="0" workbookViewId="0" topLeftCell="A1">
      <selection activeCell="M25" sqref="M25"/>
    </sheetView>
  </sheetViews>
  <sheetFormatPr defaultColWidth="9.140625" defaultRowHeight="15" outlineLevelRow="1" outlineLevelCol="1"/>
  <cols>
    <col min="1" max="1" width="11.7109375" style="111" customWidth="1" outlineLevel="1"/>
    <col min="2" max="2" width="7.8515625" style="111" customWidth="1"/>
    <col min="3" max="3" width="38.57421875" style="111" customWidth="1"/>
    <col min="4" max="5" width="11.7109375" style="111" customWidth="1"/>
    <col min="6" max="6" width="10.00390625" style="111" customWidth="1"/>
    <col min="7" max="7" width="12.00390625" style="4" customWidth="1"/>
    <col min="8" max="8" width="12.421875" style="111" customWidth="1" outlineLevel="1"/>
    <col min="9" max="9" width="12.7109375" style="111" customWidth="1" outlineLevel="1" collapsed="1"/>
    <col min="10" max="10" width="12.7109375" style="111" customWidth="1" outlineLevel="1"/>
    <col min="11" max="11" width="12.7109375" style="111" customWidth="1" outlineLevel="1" collapsed="1"/>
    <col min="12" max="12" width="28.00390625" style="111" customWidth="1"/>
    <col min="13" max="13" width="9.140625" style="111" customWidth="1" outlineLevel="1" collapsed="1"/>
    <col min="14" max="14" width="9.140625" style="111" customWidth="1"/>
    <col min="15" max="15" width="30.00390625" style="111" bestFit="1" customWidth="1"/>
    <col min="16" max="18" width="9.140625" style="111" customWidth="1"/>
    <col min="19" max="19" width="17.140625" style="111" customWidth="1"/>
    <col min="20" max="16384" width="9.140625" style="111" customWidth="1"/>
  </cols>
  <sheetData>
    <row r="1" spans="1:15" ht="33.75" customHeight="1">
      <c r="A1" s="87"/>
      <c r="B1" s="314"/>
      <c r="C1" s="315"/>
      <c r="D1" s="289" t="s">
        <v>157</v>
      </c>
      <c r="E1" s="290"/>
      <c r="F1" s="290"/>
      <c r="G1" s="290"/>
      <c r="H1" s="290"/>
      <c r="I1" s="290"/>
      <c r="J1" s="290"/>
      <c r="K1" s="290"/>
      <c r="L1" s="291"/>
      <c r="N1" s="97"/>
      <c r="O1" s="196" t="s">
        <v>57</v>
      </c>
    </row>
    <row r="2" spans="1:15" ht="57.75" customHeight="1" thickBot="1">
      <c r="A2" s="88"/>
      <c r="B2" s="316"/>
      <c r="C2" s="317"/>
      <c r="D2" s="292"/>
      <c r="E2" s="293"/>
      <c r="F2" s="293"/>
      <c r="G2" s="293"/>
      <c r="H2" s="293"/>
      <c r="I2" s="293"/>
      <c r="J2" s="293"/>
      <c r="K2" s="293"/>
      <c r="L2" s="294"/>
      <c r="N2" s="97"/>
      <c r="O2" s="45" t="s">
        <v>54</v>
      </c>
    </row>
    <row r="3" spans="2:16" ht="40.5" customHeight="1" thickBot="1">
      <c r="B3" s="295" t="s">
        <v>1</v>
      </c>
      <c r="C3" s="296"/>
      <c r="D3" s="318" t="e">
        <f>РангСоревнований</f>
        <v>#REF!</v>
      </c>
      <c r="E3" s="319"/>
      <c r="F3" s="319"/>
      <c r="G3" s="319"/>
      <c r="H3" s="319"/>
      <c r="I3" s="319"/>
      <c r="J3" s="319"/>
      <c r="K3" s="319"/>
      <c r="L3" s="320"/>
      <c r="N3" s="97"/>
      <c r="O3" s="14"/>
      <c r="P3" s="14"/>
    </row>
    <row r="4" spans="2:18" ht="15.75" customHeight="1">
      <c r="B4" s="298" t="s">
        <v>2</v>
      </c>
      <c r="C4" s="299"/>
      <c r="D4" s="300" t="s">
        <v>191</v>
      </c>
      <c r="E4" s="301"/>
      <c r="F4" s="301"/>
      <c r="G4" s="301"/>
      <c r="H4" s="301"/>
      <c r="I4" s="301"/>
      <c r="J4" s="301"/>
      <c r="K4" s="301"/>
      <c r="L4" s="302"/>
      <c r="N4" s="97"/>
      <c r="O4" s="195" t="s">
        <v>63</v>
      </c>
      <c r="P4" s="14"/>
      <c r="Q4" s="14"/>
      <c r="R4" s="14"/>
    </row>
    <row r="5" spans="2:18" ht="16.5" thickBot="1">
      <c r="B5" s="298" t="s">
        <v>3</v>
      </c>
      <c r="C5" s="299"/>
      <c r="D5" s="322" t="s">
        <v>169</v>
      </c>
      <c r="E5" s="323"/>
      <c r="F5" s="323"/>
      <c r="G5" s="323"/>
      <c r="H5" s="323"/>
      <c r="I5" s="323"/>
      <c r="J5" s="323"/>
      <c r="K5" s="323"/>
      <c r="L5" s="324"/>
      <c r="N5" s="97"/>
      <c r="O5" s="45" t="s">
        <v>60</v>
      </c>
      <c r="P5" s="14"/>
      <c r="Q5" s="14"/>
      <c r="R5" s="14"/>
    </row>
    <row r="6" spans="2:19" ht="15.75" customHeight="1">
      <c r="B6" s="298" t="s">
        <v>4</v>
      </c>
      <c r="C6" s="299"/>
      <c r="D6" s="318" t="e">
        <f>S7</f>
        <v>#REF!</v>
      </c>
      <c r="E6" s="319"/>
      <c r="F6" s="319"/>
      <c r="G6" s="319"/>
      <c r="H6" s="319"/>
      <c r="I6" s="319"/>
      <c r="J6" s="319"/>
      <c r="K6" s="319"/>
      <c r="L6" s="320"/>
      <c r="N6" s="97"/>
      <c r="O6" s="36" t="s">
        <v>65</v>
      </c>
      <c r="P6" s="33" t="s">
        <v>89</v>
      </c>
      <c r="Q6" s="32" t="s">
        <v>90</v>
      </c>
      <c r="R6" s="64" t="s">
        <v>91</v>
      </c>
      <c r="S6" s="67" t="s">
        <v>148</v>
      </c>
    </row>
    <row r="7" spans="2:19" ht="16.5" customHeight="1" thickBot="1">
      <c r="B7" s="298" t="s">
        <v>5</v>
      </c>
      <c r="C7" s="299"/>
      <c r="D7" s="318" t="e">
        <f>ранг</f>
        <v>#REF!</v>
      </c>
      <c r="E7" s="319"/>
      <c r="F7" s="319"/>
      <c r="G7" s="319"/>
      <c r="H7" s="319"/>
      <c r="I7" s="319"/>
      <c r="J7" s="319"/>
      <c r="K7" s="319"/>
      <c r="L7" s="320"/>
      <c r="N7" s="97"/>
      <c r="O7" s="35" t="e">
        <f>ROUND(SUMIF('Р-Ж-итог'!$J$12:$J$16,TRUE,'Р-Ж-итог'!$K$12:$K$16)*VLOOKUP(с_вид_участия,т_вид_участия,3,0),0)</f>
        <v>#REF!</v>
      </c>
      <c r="P7" s="34" t="e">
        <f>VLOOKUP(O7,т_время_победителя,2,1)</f>
        <v>#REF!</v>
      </c>
      <c r="Q7" s="30" t="e">
        <f>VLOOKUP(O7,т_время_победителя,3,1)</f>
        <v>#REF!</v>
      </c>
      <c r="R7" s="31" t="e">
        <f>VLOOKUP(O7,т_время_победителя,4,1)</f>
        <v>#REF!</v>
      </c>
      <c r="S7" s="74" t="e">
        <f>VLOOKUP(ранг,т_класс_дистанции,2,1)</f>
        <v>#REF!</v>
      </c>
    </row>
    <row r="8" spans="1:19" ht="15.75" hidden="1">
      <c r="A8" s="13"/>
      <c r="B8" s="13"/>
      <c r="C8" s="13"/>
      <c r="D8" s="13"/>
      <c r="E8" s="13"/>
      <c r="F8" s="13"/>
      <c r="G8" s="13"/>
      <c r="H8" s="13"/>
      <c r="I8" s="13"/>
      <c r="J8" s="23"/>
      <c r="K8" s="23"/>
      <c r="L8" s="1"/>
      <c r="O8" s="85"/>
      <c r="P8" s="179"/>
      <c r="Q8" s="179"/>
      <c r="R8" s="179"/>
      <c r="S8" s="86"/>
    </row>
    <row r="9" spans="1:12" ht="15">
      <c r="A9" s="1"/>
      <c r="B9" s="1"/>
      <c r="C9" s="1"/>
      <c r="D9" s="1"/>
      <c r="E9" s="1"/>
      <c r="F9" s="1"/>
      <c r="G9" s="2"/>
      <c r="H9" s="1"/>
      <c r="I9" s="1"/>
      <c r="J9" s="1"/>
      <c r="K9" s="1"/>
      <c r="L9" s="1"/>
    </row>
    <row r="10" spans="1:12" ht="15.75">
      <c r="A10" s="307" t="s">
        <v>42</v>
      </c>
      <c r="B10" s="307"/>
      <c r="C10" s="307"/>
      <c r="D10" s="307"/>
      <c r="E10" s="307"/>
      <c r="F10" s="307"/>
      <c r="G10" s="307"/>
      <c r="H10" s="307"/>
      <c r="I10" s="307"/>
      <c r="J10" s="307"/>
      <c r="K10" s="307"/>
      <c r="L10" s="307"/>
    </row>
    <row r="11" spans="1:15" ht="45">
      <c r="A11" s="79" t="s">
        <v>33</v>
      </c>
      <c r="B11" s="167" t="s">
        <v>39</v>
      </c>
      <c r="C11" s="153" t="s">
        <v>41</v>
      </c>
      <c r="D11" s="155" t="s">
        <v>143</v>
      </c>
      <c r="E11" s="155" t="s">
        <v>144</v>
      </c>
      <c r="F11" s="158" t="s">
        <v>40</v>
      </c>
      <c r="G11" s="159" t="s">
        <v>0</v>
      </c>
      <c r="H11" s="69" t="s">
        <v>46</v>
      </c>
      <c r="I11" s="15" t="s">
        <v>45</v>
      </c>
      <c r="J11" s="15" t="s">
        <v>64</v>
      </c>
      <c r="K11" s="15" t="s">
        <v>59</v>
      </c>
      <c r="L11" s="70" t="s">
        <v>8</v>
      </c>
      <c r="M11" s="99" t="s">
        <v>161</v>
      </c>
      <c r="O11" s="111" t="s">
        <v>195</v>
      </c>
    </row>
    <row r="12" spans="1:13" ht="18" customHeight="1">
      <c r="A12" s="173"/>
      <c r="B12" s="16">
        <f>_xlfn.IFERROR(VLOOKUP(#REF!,#REF!,2,0),0)</f>
        <v>0</v>
      </c>
      <c r="C12" s="161">
        <f>_xlfn.IFERROR(VLOOKUP('Р-Ж-итог'!$A12,#REF!,3,0),0)</f>
        <v>0</v>
      </c>
      <c r="D12" s="62" t="e">
        <f>VLOOKUP('Р-Ж-итог'!$A12,'Р-Ж-1п'!$A$12:$AE$26,COLUMN('Р-Ж-1п'!$AE$12:$AE$26),0)</f>
        <v>#N/A</v>
      </c>
      <c r="E12" s="62" t="e">
        <f>VLOOKUP('Р-Ж-итог'!$A12,'Р-Ж-2п'!$A$12:$AE$26,COLUMN('Р-Ж-2п'!$AE$12:$AE$26),0)</f>
        <v>#N/A</v>
      </c>
      <c r="F12" s="162" t="e">
        <f>MIN('Р-Ж-итог'!$D12,'Р-Ж-итог'!$E12)</f>
        <v>#N/A</v>
      </c>
      <c r="G12" s="163" t="e">
        <f>IF((COUNTIF('Р-Ж-итог'!$M$12:$M$16,'Р-Ж-итог'!$M12)-1)=0,RANK('Р-Ж-итог'!$M12,'Р-Ж-итог'!$M$12:$M$16,1),RANK('Р-Ж-итог'!$M12,'Р-Ж-итог'!$M$12:$M$16,1)&amp;"-"&amp;RANK('Р-Ж-итог'!$M12,'Р-Ж-итог'!$M$12:$M$16,1)+COUNTIF('Р-Ж-итог'!$M$12:$M$16,'Р-Ж-итог'!$M12)-1)</f>
        <v>#N/A</v>
      </c>
      <c r="H12" s="135" t="e">
        <f>HLOOKUP(ВидДистанции,ТаблицаБаллов,MATCH('Р-Ж-итог'!$G12,ЗанятоеМесто,0),0)</f>
        <v>#REF!</v>
      </c>
      <c r="I12" s="136" t="e">
        <f>100*'Р-Ж-итог'!$F12/MIN('Р-Ж-итог'!$F$12:$F$16)</f>
        <v>#N/A</v>
      </c>
      <c r="J12" s="21" t="e">
        <f>'Р-Ж-итог'!$G12&lt;=VLOOKUP($O$5,т_вид_участия,2,0)</f>
        <v>#N/A</v>
      </c>
      <c r="K12" s="53" t="e">
        <f>IF('Р-Ж-итог'!$J12=FALSE,0,VLOOKUP('Р-Ж-итог'!$A12,#REF!,COLUMN(#REF!),0))</f>
        <v>#N/A</v>
      </c>
      <c r="L12" s="137" t="e">
        <f>IF('Р-Ж-итог'!$I12&lt;=$P$7,"1 разряд",IF('Р-Ж-итог'!$I12&lt;=$Q$7,"2 разряд",IF('Р-Ж-итог'!$I12&lt;=$R$7,"3 разряд","")))</f>
        <v>#N/A</v>
      </c>
      <c r="M12" s="100" t="e">
        <f>MIN('Р-Ж-итог'!$D12,'Р-Ж-итог'!$E12)+'Р-Ж-итог'!$F12</f>
        <v>#N/A</v>
      </c>
    </row>
    <row r="13" spans="1:13" ht="15.75">
      <c r="A13" s="173"/>
      <c r="B13" s="16">
        <f>_xlfn.IFERROR(VLOOKUP(#REF!,#REF!,2,0),0)</f>
        <v>0</v>
      </c>
      <c r="C13" s="161">
        <f>_xlfn.IFERROR(VLOOKUP('Р-Ж-итог'!$A13,#REF!,3,0),0)</f>
        <v>0</v>
      </c>
      <c r="D13" s="62" t="e">
        <f>VLOOKUP('Р-Ж-итог'!$A13,'Р-Ж-1п'!$A$12:$AE$26,COLUMN('Р-Ж-1п'!$AE$12:$AE$26),0)</f>
        <v>#N/A</v>
      </c>
      <c r="E13" s="62" t="e">
        <f>VLOOKUP('Р-Ж-итог'!$A13,'Р-Ж-2п'!$A$12:$AE$26,COLUMN('Р-Ж-2п'!$AE$12:$AE$26),0)</f>
        <v>#N/A</v>
      </c>
      <c r="F13" s="162" t="e">
        <f>MIN('Р-Ж-итог'!$D13,'Р-Ж-итог'!$E13)</f>
        <v>#N/A</v>
      </c>
      <c r="G13" s="163" t="e">
        <f>IF((COUNTIF('Р-Ж-итог'!$M$12:$M$16,'Р-Ж-итог'!$M13)-1)=0,RANK('Р-Ж-итог'!$M13,'Р-Ж-итог'!$M$12:$M$16,1),RANK('Р-Ж-итог'!$M13,'Р-Ж-итог'!$M$12:$M$16,1)&amp;"-"&amp;RANK('Р-Ж-итог'!$M13,'Р-Ж-итог'!$M$12:$M$16,1)+COUNTIF('Р-Ж-итог'!$M$12:$M$16,'Р-Ж-итог'!$M13)-1)</f>
        <v>#N/A</v>
      </c>
      <c r="H13" s="135" t="e">
        <f>HLOOKUP(ВидДистанции,ТаблицаБаллов,MATCH('Р-Ж-итог'!$G13,ЗанятоеМесто,0),0)</f>
        <v>#REF!</v>
      </c>
      <c r="I13" s="136" t="e">
        <f>100*'Р-Ж-итог'!$F13/MIN('Р-Ж-итог'!$F$12:$F$16)</f>
        <v>#N/A</v>
      </c>
      <c r="J13" s="21" t="e">
        <f>'Р-Ж-итог'!$G13&lt;=VLOOKUP($O$5,т_вид_участия,2,0)</f>
        <v>#N/A</v>
      </c>
      <c r="K13" s="53" t="e">
        <f>IF('Р-Ж-итог'!$J13=FALSE,0,VLOOKUP('Р-Ж-итог'!$A13,#REF!,COLUMN(#REF!),0))</f>
        <v>#N/A</v>
      </c>
      <c r="L13" s="137" t="e">
        <f>IF('Р-Ж-итог'!$I13&lt;=$P$7,"1 разряд",IF('Р-Ж-итог'!$I13&lt;=$Q$7,"2 разряд",IF('Р-Ж-итог'!$I13&lt;=$R$7,"3 разряд","")))</f>
        <v>#N/A</v>
      </c>
      <c r="M13" s="100" t="e">
        <f>MIN('Р-Ж-итог'!$D13,'Р-Ж-итог'!$E13)+'Р-Ж-итог'!$F13</f>
        <v>#N/A</v>
      </c>
    </row>
    <row r="14" spans="1:13" ht="15.75">
      <c r="A14" s="173"/>
      <c r="B14" s="16">
        <f>_xlfn.IFERROR(VLOOKUP(#REF!,#REF!,2,0),0)</f>
        <v>0</v>
      </c>
      <c r="C14" s="161">
        <f>_xlfn.IFERROR(VLOOKUP('Р-Ж-итог'!$A14,#REF!,3,0),0)</f>
        <v>0</v>
      </c>
      <c r="D14" s="62" t="e">
        <f>VLOOKUP('Р-Ж-итог'!$A14,'Р-Ж-1п'!$A$12:$AE$26,COLUMN('Р-Ж-1п'!$AE$12:$AE$26),0)</f>
        <v>#N/A</v>
      </c>
      <c r="E14" s="62" t="e">
        <f>VLOOKUP('Р-Ж-итог'!$A14,'Р-Ж-2п'!$A$12:$AE$26,COLUMN('Р-Ж-2п'!$AE$12:$AE$26),0)</f>
        <v>#N/A</v>
      </c>
      <c r="F14" s="162" t="e">
        <f>MIN('Р-Ж-итог'!$D14,'Р-Ж-итог'!$E14)</f>
        <v>#N/A</v>
      </c>
      <c r="G14" s="163" t="e">
        <f>IF((COUNTIF('Р-Ж-итог'!$M$12:$M$16,'Р-Ж-итог'!$M14)-1)=0,RANK('Р-Ж-итог'!$M14,'Р-Ж-итог'!$M$12:$M$16,1),RANK('Р-Ж-итог'!$M14,'Р-Ж-итог'!$M$12:$M$16,1)&amp;"-"&amp;RANK('Р-Ж-итог'!$M14,'Р-Ж-итог'!$M$12:$M$16,1)+COUNTIF('Р-Ж-итог'!$M$12:$M$16,'Р-Ж-итог'!$M14)-1)</f>
        <v>#N/A</v>
      </c>
      <c r="H14" s="135" t="e">
        <f>HLOOKUP(ВидДистанции,ТаблицаБаллов,MATCH('Р-Ж-итог'!$G14,ЗанятоеМесто,0),0)</f>
        <v>#REF!</v>
      </c>
      <c r="I14" s="136" t="e">
        <f>100*'Р-Ж-итог'!$F14/MIN('Р-Ж-итог'!$F$12:$F$16)</f>
        <v>#N/A</v>
      </c>
      <c r="J14" s="21" t="e">
        <f>'Р-Ж-итог'!$G14&lt;=VLOOKUP($O$5,т_вид_участия,2,0)</f>
        <v>#N/A</v>
      </c>
      <c r="K14" s="53" t="e">
        <f>IF('Р-Ж-итог'!$J14=FALSE,0,VLOOKUP('Р-Ж-итог'!$A14,#REF!,COLUMN(#REF!),0))</f>
        <v>#N/A</v>
      </c>
      <c r="L14" s="137" t="e">
        <f>IF('Р-Ж-итог'!$I14&lt;=$P$7,"1 разряд",IF('Р-Ж-итог'!$I14&lt;=$Q$7,"2 разряд",IF('Р-Ж-итог'!$I14&lt;=$R$7,"3 разряд","")))</f>
        <v>#N/A</v>
      </c>
      <c r="M14" s="100" t="e">
        <f>MIN('Р-Ж-итог'!$D14,'Р-Ж-итог'!$E14)+'Р-Ж-итог'!$F14</f>
        <v>#N/A</v>
      </c>
    </row>
    <row r="15" spans="1:13" ht="15.75">
      <c r="A15" s="173"/>
      <c r="B15" s="16">
        <f>_xlfn.IFERROR(VLOOKUP(#REF!,#REF!,2,0),0)</f>
        <v>0</v>
      </c>
      <c r="C15" s="161">
        <f>_xlfn.IFERROR(VLOOKUP('Р-Ж-итог'!$A15,#REF!,3,0),0)</f>
        <v>0</v>
      </c>
      <c r="D15" s="62" t="e">
        <f>VLOOKUP('Р-Ж-итог'!$A15,'Р-Ж-1п'!$A$12:$AE$26,COLUMN('Р-Ж-1п'!$AE$12:$AE$26),0)</f>
        <v>#N/A</v>
      </c>
      <c r="E15" s="62" t="e">
        <f>VLOOKUP('Р-Ж-итог'!$A15,'Р-Ж-2п'!$A$12:$AE$26,COLUMN('Р-Ж-2п'!$AE$12:$AE$26),0)</f>
        <v>#N/A</v>
      </c>
      <c r="F15" s="162" t="e">
        <f>MIN('Р-Ж-итог'!$D15,'Р-Ж-итог'!$E15)</f>
        <v>#N/A</v>
      </c>
      <c r="G15" s="163" t="e">
        <f>IF((COUNTIF('Р-Ж-итог'!$M$12:$M$16,'Р-Ж-итог'!$M15)-1)=0,RANK('Р-Ж-итог'!$M15,'Р-Ж-итог'!$M$12:$M$16,1),RANK('Р-Ж-итог'!$M15,'Р-Ж-итог'!$M$12:$M$16,1)&amp;"-"&amp;RANK('Р-Ж-итог'!$M15,'Р-Ж-итог'!$M$12:$M$16,1)+COUNTIF('Р-Ж-итог'!$M$12:$M$16,'Р-Ж-итог'!$M15)-1)</f>
        <v>#N/A</v>
      </c>
      <c r="H15" s="135" t="e">
        <f>HLOOKUP(ВидДистанции,ТаблицаБаллов,MATCH('Р-Ж-итог'!$G15,ЗанятоеМесто,0),0)</f>
        <v>#REF!</v>
      </c>
      <c r="I15" s="136" t="e">
        <f>100*'Р-Ж-итог'!$F15/MIN('Р-Ж-итог'!$F$12:$F$16)</f>
        <v>#N/A</v>
      </c>
      <c r="J15" s="21" t="e">
        <f>'Р-Ж-итог'!$G15&lt;=VLOOKUP($O$5,т_вид_участия,2,0)</f>
        <v>#N/A</v>
      </c>
      <c r="K15" s="53" t="e">
        <f>IF('Р-Ж-итог'!$J15=FALSE,0,VLOOKUP('Р-Ж-итог'!$A15,#REF!,COLUMN(#REF!),0))</f>
        <v>#N/A</v>
      </c>
      <c r="L15" s="137" t="e">
        <f>IF('Р-Ж-итог'!$I15&lt;=$P$7,"1 разряд",IF('Р-Ж-итог'!$I15&lt;=$Q$7,"2 разряд",IF('Р-Ж-итог'!$I15&lt;=$R$7,"3 разряд","")))</f>
        <v>#N/A</v>
      </c>
      <c r="M15" s="100" t="e">
        <f>MIN('Р-Ж-итог'!$D15,'Р-Ж-итог'!$E15)+'Р-Ж-итог'!$F15</f>
        <v>#N/A</v>
      </c>
    </row>
    <row r="16" spans="1:13" ht="15.75">
      <c r="A16" s="173"/>
      <c r="B16" s="16">
        <f>_xlfn.IFERROR(VLOOKUP(#REF!,#REF!,2,0),0)</f>
        <v>0</v>
      </c>
      <c r="C16" s="161">
        <f>_xlfn.IFERROR(VLOOKUP('Р-Ж-итог'!$A16,#REF!,3,0),0)</f>
        <v>0</v>
      </c>
      <c r="D16" s="62" t="e">
        <f>VLOOKUP('Р-Ж-итог'!$A16,'Р-Ж-1п'!$A$12:$AE$26,COLUMN('Р-Ж-1п'!$AE$12:$AE$26),0)</f>
        <v>#N/A</v>
      </c>
      <c r="E16" s="62" t="e">
        <f>VLOOKUP('Р-Ж-итог'!$A16,'Р-Ж-2п'!$A$12:$AE$26,COLUMN('Р-Ж-2п'!$AE$12:$AE$26),0)</f>
        <v>#N/A</v>
      </c>
      <c r="F16" s="162" t="e">
        <f>MIN('Р-Ж-итог'!$D16,'Р-Ж-итог'!$E16)</f>
        <v>#N/A</v>
      </c>
      <c r="G16" s="163" t="e">
        <f>IF((COUNTIF('Р-Ж-итог'!$M$12:$M$16,'Р-Ж-итог'!$M16)-1)=0,RANK('Р-Ж-итог'!$M16,'Р-Ж-итог'!$M$12:$M$16,1),RANK('Р-Ж-итог'!$M16,'Р-Ж-итог'!$M$12:$M$16,1)&amp;"-"&amp;RANK('Р-Ж-итог'!$M16,'Р-Ж-итог'!$M$12:$M$16,1)+COUNTIF('Р-Ж-итог'!$M$12:$M$16,'Р-Ж-итог'!$M16)-1)</f>
        <v>#N/A</v>
      </c>
      <c r="H16" s="135" t="e">
        <f>HLOOKUP(ВидДистанции,ТаблицаБаллов,MATCH('Р-Ж-итог'!$G16,ЗанятоеМесто,0),0)</f>
        <v>#REF!</v>
      </c>
      <c r="I16" s="136" t="e">
        <f>100*'Р-Ж-итог'!$F16/MIN('Р-Ж-итог'!$F$12:$F$16)</f>
        <v>#N/A</v>
      </c>
      <c r="J16" s="21" t="e">
        <f>'Р-Ж-итог'!$G16&lt;=VLOOKUP($O$5,т_вид_участия,2,0)</f>
        <v>#N/A</v>
      </c>
      <c r="K16" s="53" t="e">
        <f>IF('Р-Ж-итог'!$J16=FALSE,0,VLOOKUP('Р-Ж-итог'!$A16,#REF!,COLUMN(#REF!),0))</f>
        <v>#N/A</v>
      </c>
      <c r="L16" s="137" t="e">
        <f>IF('Р-Ж-итог'!$I16&lt;=$P$7,"1 разряд",IF('Р-Ж-итог'!$I16&lt;=$Q$7,"2 разряд",IF('Р-Ж-итог'!$I16&lt;=$R$7,"3 разряд","")))</f>
        <v>#N/A</v>
      </c>
      <c r="M16" s="100" t="e">
        <f>MIN('Р-Ж-итог'!$D16,'Р-Ж-итог'!$E16)+'Р-Ж-итог'!$F16</f>
        <v>#N/A</v>
      </c>
    </row>
    <row r="17" spans="1:12" ht="25.5" customHeight="1" outlineLevel="1">
      <c r="A17" s="325" t="s">
        <v>159</v>
      </c>
      <c r="B17" s="325"/>
      <c r="C17" s="325"/>
      <c r="D17" s="325"/>
      <c r="E17" s="325"/>
      <c r="F17" s="325"/>
      <c r="G17" s="181" t="e">
        <f>"Класс дистанции - "&amp;VLOOKUP(ранг,т_класс_дистанции,3,1)&amp;""</f>
        <v>#REF!</v>
      </c>
      <c r="H17" s="321" t="e">
        <f>"Квалификационный ранг  - "&amp;O7</f>
        <v>#REF!</v>
      </c>
      <c r="I17" s="321"/>
      <c r="J17" s="321"/>
      <c r="K17" s="321"/>
      <c r="L17" s="321"/>
    </row>
    <row r="18" spans="1:12" ht="24" customHeight="1" outlineLevel="1">
      <c r="A18" s="325"/>
      <c r="B18" s="325"/>
      <c r="C18" s="325"/>
      <c r="D18" s="325"/>
      <c r="E18" s="325"/>
      <c r="F18" s="325"/>
      <c r="G18" s="181" t="s">
        <v>11</v>
      </c>
      <c r="H18" s="321" t="e">
        <f>IF(P7=0,"не присваивается",P7&amp;" % от результата победителя")</f>
        <v>#REF!</v>
      </c>
      <c r="I18" s="321"/>
      <c r="J18" s="321"/>
      <c r="K18" s="321"/>
      <c r="L18" s="321"/>
    </row>
    <row r="19" spans="1:12" ht="24" customHeight="1" outlineLevel="1">
      <c r="A19" s="26"/>
      <c r="B19" s="26"/>
      <c r="C19" s="27"/>
      <c r="D19" s="28"/>
      <c r="E19" s="25"/>
      <c r="G19" s="181" t="s">
        <v>12</v>
      </c>
      <c r="H19" s="321" t="e">
        <f>IF(Q7=0,"не присваивается",Q7&amp;" % от результата победителя")</f>
        <v>#REF!</v>
      </c>
      <c r="I19" s="321"/>
      <c r="J19" s="321"/>
      <c r="K19" s="321"/>
      <c r="L19" s="321"/>
    </row>
    <row r="20" spans="1:12" ht="24" customHeight="1" outlineLevel="1">
      <c r="A20" s="26"/>
      <c r="B20" s="26"/>
      <c r="C20" s="27"/>
      <c r="D20" s="28"/>
      <c r="E20" s="25"/>
      <c r="G20" s="181" t="s">
        <v>13</v>
      </c>
      <c r="H20" s="321" t="e">
        <f>R7&amp;" % от результата победителя"</f>
        <v>#REF!</v>
      </c>
      <c r="I20" s="321"/>
      <c r="J20" s="321"/>
      <c r="K20" s="321"/>
      <c r="L20" s="321"/>
    </row>
    <row r="21" spans="1:11" ht="15">
      <c r="A21" s="25"/>
      <c r="B21" s="25"/>
      <c r="C21" s="25"/>
      <c r="D21" s="25"/>
      <c r="E21" s="25"/>
      <c r="F21" s="3"/>
      <c r="G21" s="5"/>
      <c r="H21" s="3"/>
      <c r="I21" s="1"/>
      <c r="J21" s="1"/>
      <c r="K21" s="1"/>
    </row>
    <row r="22" spans="1:8" ht="15.75">
      <c r="A22" s="326" t="s">
        <v>7</v>
      </c>
      <c r="B22" s="326"/>
      <c r="C22" s="326"/>
      <c r="D22" s="304"/>
      <c r="E22" s="304"/>
      <c r="F22" s="54" t="e">
        <f>фиосудья</f>
        <v>#REF!</v>
      </c>
      <c r="G22" s="179"/>
      <c r="H22" s="14"/>
    </row>
    <row r="23" spans="1:8" ht="15.75">
      <c r="A23" s="326" t="s">
        <v>6</v>
      </c>
      <c r="B23" s="326"/>
      <c r="C23" s="326"/>
      <c r="D23" s="179"/>
      <c r="E23" s="179"/>
      <c r="F23" s="12" t="e">
        <f>фиосекретарь</f>
        <v>#REF!</v>
      </c>
      <c r="G23" s="179"/>
      <c r="H23" s="14"/>
    </row>
    <row r="24" spans="1:8" ht="15">
      <c r="A24" s="303" t="e">
        <f>дата_протокол</f>
        <v>#REF!</v>
      </c>
      <c r="B24" s="303"/>
      <c r="C24" s="303"/>
      <c r="D24" s="304"/>
      <c r="E24" s="304"/>
      <c r="F24" s="14"/>
      <c r="G24" s="179"/>
      <c r="H24" s="14"/>
    </row>
    <row r="25" spans="1:8" ht="15">
      <c r="A25" s="14"/>
      <c r="B25" s="14"/>
      <c r="C25" s="14"/>
      <c r="D25" s="14"/>
      <c r="E25" s="14"/>
      <c r="F25" s="14"/>
      <c r="G25" s="179"/>
      <c r="H25" s="14"/>
    </row>
    <row r="26" spans="1:8" ht="15">
      <c r="A26" s="14"/>
      <c r="B26" s="14"/>
      <c r="C26" s="14"/>
      <c r="D26" s="14"/>
      <c r="E26" s="14"/>
      <c r="F26" s="14"/>
      <c r="G26" s="179"/>
      <c r="H26" s="14"/>
    </row>
    <row r="27" spans="1:8" ht="15">
      <c r="A27" s="14"/>
      <c r="B27" s="14"/>
      <c r="F27" s="14"/>
      <c r="G27" s="179"/>
      <c r="H27" s="14"/>
    </row>
    <row r="28" spans="1:8" ht="15">
      <c r="A28" s="179"/>
      <c r="B28" s="179"/>
      <c r="F28" s="179"/>
      <c r="G28" s="179"/>
      <c r="H28" s="14"/>
    </row>
    <row r="29" spans="1:8" ht="15">
      <c r="A29" s="14"/>
      <c r="B29" s="14"/>
      <c r="C29" s="14"/>
      <c r="D29" s="14"/>
      <c r="E29" s="14"/>
      <c r="F29" s="14"/>
      <c r="G29" s="179"/>
      <c r="H29" s="14"/>
    </row>
    <row r="30" spans="1:8" ht="15">
      <c r="A30" s="14"/>
      <c r="B30" s="14"/>
      <c r="F30" s="14"/>
      <c r="G30" s="179"/>
      <c r="H30" s="14"/>
    </row>
    <row r="31" spans="1:13" ht="15">
      <c r="A31" s="14"/>
      <c r="B31" s="14"/>
      <c r="F31" s="14"/>
      <c r="G31" s="179"/>
      <c r="H31" s="14"/>
      <c r="I31" s="14"/>
      <c r="J31" s="14"/>
      <c r="K31" s="14"/>
      <c r="L31" s="14"/>
      <c r="M31" s="14"/>
    </row>
    <row r="32" spans="1:13" ht="15">
      <c r="A32" s="14"/>
      <c r="B32" s="14"/>
      <c r="F32" s="14"/>
      <c r="G32" s="179"/>
      <c r="H32" s="14"/>
      <c r="I32" s="14"/>
      <c r="J32" s="14"/>
      <c r="K32" s="14"/>
      <c r="L32" s="14"/>
      <c r="M32" s="14"/>
    </row>
    <row r="33" spans="1:13" ht="15">
      <c r="A33" s="14"/>
      <c r="B33" s="14"/>
      <c r="F33" s="14"/>
      <c r="G33" s="179"/>
      <c r="H33" s="14"/>
      <c r="I33" s="14"/>
      <c r="J33" s="14"/>
      <c r="K33" s="14"/>
      <c r="L33" s="14"/>
      <c r="M33" s="14"/>
    </row>
    <row r="34" spans="1:13" ht="15">
      <c r="A34" s="14"/>
      <c r="B34" s="14"/>
      <c r="F34" s="14"/>
      <c r="G34" s="179"/>
      <c r="H34" s="14"/>
      <c r="I34" s="14"/>
      <c r="J34" s="14"/>
      <c r="K34" s="14"/>
      <c r="L34" s="14"/>
      <c r="M34" s="14"/>
    </row>
    <row r="35" spans="1:13" ht="15">
      <c r="A35" s="14"/>
      <c r="B35" s="14"/>
      <c r="F35" s="14"/>
      <c r="G35" s="179"/>
      <c r="H35" s="14"/>
      <c r="I35" s="14"/>
      <c r="J35" s="14"/>
      <c r="K35" s="14"/>
      <c r="L35" s="14"/>
      <c r="M35" s="14"/>
    </row>
    <row r="36" spans="1:13" ht="15">
      <c r="A36" s="14"/>
      <c r="B36" s="14"/>
      <c r="F36" s="9"/>
      <c r="G36" s="179"/>
      <c r="H36" s="14"/>
      <c r="I36" s="14"/>
      <c r="J36" s="14"/>
      <c r="K36" s="14"/>
      <c r="L36" s="14"/>
      <c r="M36" s="14"/>
    </row>
    <row r="37" spans="6:13" ht="15">
      <c r="F37" s="14"/>
      <c r="G37" s="179"/>
      <c r="H37" s="14"/>
      <c r="I37" s="14"/>
      <c r="J37" s="14"/>
      <c r="K37" s="14"/>
      <c r="L37" s="14"/>
      <c r="M37" s="14"/>
    </row>
    <row r="38" spans="5:13" ht="15">
      <c r="E38" s="14"/>
      <c r="F38" s="14"/>
      <c r="G38" s="179"/>
      <c r="H38" s="14"/>
      <c r="I38" s="14"/>
      <c r="J38" s="14"/>
      <c r="K38" s="14"/>
      <c r="L38" s="14"/>
      <c r="M38" s="14"/>
    </row>
    <row r="39" spans="5:13" ht="15">
      <c r="E39" s="14"/>
      <c r="F39" s="14"/>
      <c r="G39" s="179"/>
      <c r="H39" s="14"/>
      <c r="I39" s="14"/>
      <c r="J39" s="14"/>
      <c r="K39" s="14"/>
      <c r="L39" s="14"/>
      <c r="M39" s="14"/>
    </row>
    <row r="40" spans="5:13" ht="15">
      <c r="E40" s="14"/>
      <c r="F40" s="14"/>
      <c r="G40" s="179"/>
      <c r="H40" s="14"/>
      <c r="I40" s="14"/>
      <c r="J40" s="14"/>
      <c r="K40" s="14"/>
      <c r="L40" s="14"/>
      <c r="M40" s="14"/>
    </row>
    <row r="41" spans="5:13" ht="15">
      <c r="E41" s="14"/>
      <c r="F41" s="14"/>
      <c r="G41" s="179"/>
      <c r="H41" s="14"/>
      <c r="I41" s="14"/>
      <c r="J41" s="14"/>
      <c r="K41" s="14"/>
      <c r="L41" s="14"/>
      <c r="M41" s="14"/>
    </row>
    <row r="42" spans="5:13" ht="15">
      <c r="E42" s="14"/>
      <c r="F42" s="14"/>
      <c r="G42" s="179"/>
      <c r="H42" s="14"/>
      <c r="I42" s="14"/>
      <c r="J42" s="14"/>
      <c r="K42" s="14"/>
      <c r="L42" s="14"/>
      <c r="M42" s="14"/>
    </row>
    <row r="43" spans="5:13" ht="15">
      <c r="E43" s="14"/>
      <c r="F43" s="14"/>
      <c r="G43" s="179"/>
      <c r="H43" s="14"/>
      <c r="I43" s="14"/>
      <c r="J43" s="14"/>
      <c r="K43" s="14"/>
      <c r="L43" s="14"/>
      <c r="M43" s="14"/>
    </row>
    <row r="44" spans="6:13" ht="15">
      <c r="F44" s="14"/>
      <c r="G44" s="179"/>
      <c r="H44" s="14"/>
      <c r="I44" s="14"/>
      <c r="J44" s="14"/>
      <c r="K44" s="14"/>
      <c r="L44" s="14"/>
      <c r="M44" s="14"/>
    </row>
    <row r="45" spans="6:13" ht="15">
      <c r="F45" s="14"/>
      <c r="G45" s="179"/>
      <c r="H45" s="14"/>
      <c r="I45" s="14"/>
      <c r="J45" s="14"/>
      <c r="K45" s="14"/>
      <c r="L45" s="14"/>
      <c r="M45" s="14"/>
    </row>
  </sheetData>
  <sheetProtection/>
  <mergeCells count="23">
    <mergeCell ref="A22:C22"/>
    <mergeCell ref="D22:E22"/>
    <mergeCell ref="A23:C23"/>
    <mergeCell ref="A24:C24"/>
    <mergeCell ref="D24:E24"/>
    <mergeCell ref="H20:L20"/>
    <mergeCell ref="B5:C5"/>
    <mergeCell ref="D5:L5"/>
    <mergeCell ref="B6:C6"/>
    <mergeCell ref="D6:L6"/>
    <mergeCell ref="B7:C7"/>
    <mergeCell ref="D7:L7"/>
    <mergeCell ref="A10:L10"/>
    <mergeCell ref="A17:F18"/>
    <mergeCell ref="H17:L17"/>
    <mergeCell ref="H18:L18"/>
    <mergeCell ref="H19:L19"/>
    <mergeCell ref="B1:C2"/>
    <mergeCell ref="D1:L2"/>
    <mergeCell ref="B3:C3"/>
    <mergeCell ref="D3:L3"/>
    <mergeCell ref="B4:C4"/>
    <mergeCell ref="D4:L4"/>
  </mergeCells>
  <dataValidations count="7">
    <dataValidation type="time" operator="greaterThanOrEqual" allowBlank="1" showInputMessage="1" sqref="E12">
      <formula1>0</formula1>
    </dataValidation>
    <dataValidation errorStyle="information" type="time" operator="greaterThanOrEqual" allowBlank="1" errorTitle="сообщениеаа" sqref="D12">
      <formula1>0</formula1>
    </dataValidation>
    <dataValidation type="list" allowBlank="1" showInputMessage="1" showErrorMessage="1" sqref="D4">
      <formula1>дисциплины</formula1>
    </dataValidation>
    <dataValidation type="time" operator="greaterThanOrEqual" allowBlank="1" showInputMessage="1" showErrorMessage="1" sqref="D13:D16">
      <formula1>0</formula1>
    </dataValidation>
    <dataValidation type="whole" operator="greaterThan" allowBlank="1" showErrorMessage="1" errorTitle="Внимание!" error="Данные в этой ячейке должны быть целым числом без любых дополнительных знаков." sqref="B12:B16">
      <formula1>0</formula1>
    </dataValidation>
    <dataValidation type="list" allowBlank="1" showInputMessage="1" showErrorMessage="1" sqref="O5">
      <formula1>вид_участия</formula1>
    </dataValidation>
    <dataValidation type="list" allowBlank="1" showInputMessage="1" showErrorMessage="1" sqref="O2">
      <formula1>дистанцииБаллы</formula1>
    </dataValidation>
  </dataValidations>
  <printOptions/>
  <pageMargins left="0.5905511811023623" right="0.5905511811023623" top="0.5905511811023623" bottom="0.5905511811023623" header="0" footer="0"/>
  <pageSetup fitToHeight="1" fitToWidth="1" horizontalDpi="300" verticalDpi="300" orientation="landscape" paperSize="9" scale="98" r:id="rId5"/>
  <drawing r:id="rId4"/>
  <legacyDrawing r:id="rId2"/>
  <tableParts>
    <tablePart r:id="rId3"/>
  </tablePart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O44"/>
  <sheetViews>
    <sheetView zoomScalePageLayoutView="0" workbookViewId="0" topLeftCell="B1">
      <selection activeCell="AH19" sqref="AH19"/>
    </sheetView>
  </sheetViews>
  <sheetFormatPr defaultColWidth="9.140625" defaultRowHeight="15" outlineLevelRow="1" outlineLevelCol="1"/>
  <cols>
    <col min="1" max="1" width="11.7109375" style="111" hidden="1" customWidth="1" outlineLevel="1"/>
    <col min="2" max="2" width="7.8515625" style="111" customWidth="1" collapsed="1"/>
    <col min="3" max="3" width="38.57421875" style="111" customWidth="1"/>
    <col min="4" max="5" width="11.7109375" style="111" customWidth="1"/>
    <col min="6" max="6" width="10.00390625" style="111" customWidth="1"/>
    <col min="7" max="7" width="12.00390625" style="4" customWidth="1"/>
    <col min="8" max="8" width="12.421875" style="111" customWidth="1"/>
    <col min="9" max="9" width="8.57421875" style="111" customWidth="1" collapsed="1"/>
    <col min="10" max="10" width="9.140625" style="111" customWidth="1"/>
    <col min="11" max="11" width="11.00390625" style="111" customWidth="1" collapsed="1"/>
    <col min="12" max="12" width="13.421875" style="111" customWidth="1"/>
    <col min="13" max="13" width="9.140625" style="111" customWidth="1" collapsed="1"/>
    <col min="14" max="14" width="9.140625" style="111" customWidth="1"/>
    <col min="15" max="17" width="7.00390625" style="111" bestFit="1" customWidth="1"/>
    <col min="18" max="18" width="3.57421875" style="111" bestFit="1" customWidth="1"/>
    <col min="19" max="19" width="4.00390625" style="111" bestFit="1" customWidth="1"/>
    <col min="20" max="20" width="3.57421875" style="111" bestFit="1" customWidth="1"/>
    <col min="21" max="21" width="7.00390625" style="111" bestFit="1" customWidth="1"/>
    <col min="22" max="22" width="9.00390625" style="111" customWidth="1"/>
    <col min="23" max="28" width="9.140625" style="111" customWidth="1"/>
    <col min="29" max="29" width="9.140625" style="111" hidden="1" customWidth="1" outlineLevel="1"/>
    <col min="30" max="30" width="9.140625" style="111" hidden="1" customWidth="1" outlineLevel="1" collapsed="1"/>
    <col min="31" max="31" width="9.140625" style="111" customWidth="1" collapsed="1"/>
    <col min="32" max="32" width="9.140625" style="111" hidden="1" customWidth="1" outlineLevel="1"/>
    <col min="33" max="33" width="9.140625" style="111" customWidth="1" collapsed="1"/>
    <col min="34" max="34" width="35.28125" style="111" customWidth="1"/>
    <col min="35" max="37" width="9.140625" style="111" customWidth="1"/>
    <col min="38" max="38" width="16.28125" style="111" customWidth="1"/>
    <col min="39" max="40" width="9.140625" style="111" customWidth="1"/>
    <col min="41" max="41" width="32.7109375" style="111" customWidth="1"/>
    <col min="42" max="16384" width="9.140625" style="111" customWidth="1"/>
  </cols>
  <sheetData>
    <row r="1" spans="1:32" ht="72" customHeight="1">
      <c r="A1" s="87"/>
      <c r="B1" s="314"/>
      <c r="C1" s="315"/>
      <c r="D1" s="330" t="s">
        <v>157</v>
      </c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  <c r="R1" s="330"/>
      <c r="S1" s="330"/>
      <c r="T1" s="330"/>
      <c r="U1" s="330"/>
      <c r="V1" s="330"/>
      <c r="W1" s="330"/>
      <c r="X1" s="330"/>
      <c r="Y1" s="330"/>
      <c r="Z1" s="330"/>
      <c r="AA1" s="330"/>
      <c r="AB1" s="330"/>
      <c r="AC1" s="330"/>
      <c r="AD1" s="330"/>
      <c r="AE1" s="330"/>
      <c r="AF1" s="330"/>
    </row>
    <row r="2" spans="2:35" ht="40.5" customHeight="1" thickBot="1">
      <c r="B2" s="295" t="s">
        <v>1</v>
      </c>
      <c r="C2" s="296"/>
      <c r="D2" s="306" t="e">
        <f>РангСоревнований</f>
        <v>#REF!</v>
      </c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6"/>
      <c r="U2" s="306"/>
      <c r="V2" s="306"/>
      <c r="W2" s="306"/>
      <c r="X2" s="306"/>
      <c r="Y2" s="306"/>
      <c r="Z2" s="306"/>
      <c r="AA2" s="306"/>
      <c r="AB2" s="306"/>
      <c r="AC2" s="306"/>
      <c r="AD2" s="306"/>
      <c r="AE2" s="306"/>
      <c r="AF2" s="306"/>
      <c r="AH2" s="14"/>
      <c r="AI2" s="14"/>
    </row>
    <row r="3" spans="2:41" ht="15.75" customHeight="1">
      <c r="B3" s="298" t="s">
        <v>2</v>
      </c>
      <c r="C3" s="299"/>
      <c r="D3" s="331" t="s">
        <v>47</v>
      </c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31"/>
      <c r="P3" s="331"/>
      <c r="Q3" s="331"/>
      <c r="R3" s="331"/>
      <c r="S3" s="331"/>
      <c r="T3" s="331"/>
      <c r="U3" s="331"/>
      <c r="V3" s="331"/>
      <c r="W3" s="331"/>
      <c r="X3" s="331"/>
      <c r="Y3" s="331"/>
      <c r="Z3" s="331"/>
      <c r="AA3" s="331"/>
      <c r="AB3" s="331"/>
      <c r="AC3" s="331"/>
      <c r="AD3" s="331"/>
      <c r="AE3" s="331"/>
      <c r="AF3" s="331"/>
      <c r="AH3" s="195" t="s">
        <v>63</v>
      </c>
      <c r="AI3" s="14"/>
      <c r="AJ3" s="14"/>
      <c r="AK3" s="14"/>
      <c r="AO3" s="44" t="s">
        <v>153</v>
      </c>
    </row>
    <row r="4" spans="2:41" ht="16.5" customHeight="1" thickBot="1">
      <c r="B4" s="298" t="s">
        <v>3</v>
      </c>
      <c r="C4" s="299"/>
      <c r="D4" s="305" t="s">
        <v>196</v>
      </c>
      <c r="E4" s="305"/>
      <c r="F4" s="305"/>
      <c r="G4" s="305"/>
      <c r="H4" s="305"/>
      <c r="I4" s="305"/>
      <c r="J4" s="305"/>
      <c r="K4" s="305"/>
      <c r="L4" s="305"/>
      <c r="M4" s="305"/>
      <c r="N4" s="305"/>
      <c r="O4" s="305"/>
      <c r="P4" s="305"/>
      <c r="Q4" s="305"/>
      <c r="R4" s="305"/>
      <c r="S4" s="305"/>
      <c r="T4" s="305"/>
      <c r="U4" s="305"/>
      <c r="V4" s="305"/>
      <c r="W4" s="305"/>
      <c r="X4" s="305"/>
      <c r="Y4" s="305"/>
      <c r="Z4" s="305"/>
      <c r="AA4" s="305"/>
      <c r="AB4" s="305"/>
      <c r="AC4" s="305"/>
      <c r="AD4" s="305"/>
      <c r="AE4" s="305"/>
      <c r="AF4" s="305"/>
      <c r="AH4" s="45" t="s">
        <v>60</v>
      </c>
      <c r="AI4" s="14"/>
      <c r="AJ4" s="14"/>
      <c r="AK4" s="14"/>
      <c r="AO4" s="113">
        <v>0.10416666666666667</v>
      </c>
    </row>
    <row r="5" spans="2:41" ht="15.75" customHeight="1">
      <c r="B5" s="298" t="s">
        <v>4</v>
      </c>
      <c r="C5" s="299"/>
      <c r="D5" s="306" t="e">
        <f>AL6</f>
        <v>#REF!</v>
      </c>
      <c r="E5" s="306"/>
      <c r="F5" s="306"/>
      <c r="G5" s="306"/>
      <c r="H5" s="306"/>
      <c r="I5" s="306"/>
      <c r="J5" s="306"/>
      <c r="K5" s="306"/>
      <c r="L5" s="306"/>
      <c r="M5" s="306"/>
      <c r="N5" s="306"/>
      <c r="O5" s="306"/>
      <c r="P5" s="306"/>
      <c r="Q5" s="306"/>
      <c r="R5" s="306"/>
      <c r="S5" s="306"/>
      <c r="T5" s="306"/>
      <c r="U5" s="306"/>
      <c r="V5" s="306"/>
      <c r="W5" s="306"/>
      <c r="X5" s="306"/>
      <c r="Y5" s="306"/>
      <c r="Z5" s="306"/>
      <c r="AA5" s="306"/>
      <c r="AB5" s="306"/>
      <c r="AC5" s="306"/>
      <c r="AD5" s="306"/>
      <c r="AE5" s="306"/>
      <c r="AF5" s="306"/>
      <c r="AH5" s="36" t="s">
        <v>65</v>
      </c>
      <c r="AI5" s="33" t="s">
        <v>89</v>
      </c>
      <c r="AJ5" s="32" t="s">
        <v>90</v>
      </c>
      <c r="AK5" s="64" t="s">
        <v>91</v>
      </c>
      <c r="AL5" s="67" t="s">
        <v>148</v>
      </c>
      <c r="AO5" s="36" t="s">
        <v>155</v>
      </c>
    </row>
    <row r="6" spans="2:41" ht="16.5" customHeight="1" thickBot="1">
      <c r="B6" s="298" t="s">
        <v>5</v>
      </c>
      <c r="C6" s="299"/>
      <c r="D6" s="306" t="e">
        <f>ранг</f>
        <v>#REF!</v>
      </c>
      <c r="E6" s="306"/>
      <c r="F6" s="306"/>
      <c r="G6" s="306"/>
      <c r="H6" s="306"/>
      <c r="I6" s="306"/>
      <c r="J6" s="306"/>
      <c r="K6" s="306"/>
      <c r="L6" s="306"/>
      <c r="M6" s="306"/>
      <c r="N6" s="306"/>
      <c r="O6" s="306"/>
      <c r="P6" s="306"/>
      <c r="Q6" s="306"/>
      <c r="R6" s="306"/>
      <c r="S6" s="306"/>
      <c r="T6" s="306"/>
      <c r="U6" s="306"/>
      <c r="V6" s="306"/>
      <c r="W6" s="306"/>
      <c r="X6" s="306"/>
      <c r="Y6" s="306"/>
      <c r="Z6" s="306"/>
      <c r="AA6" s="306"/>
      <c r="AB6" s="306"/>
      <c r="AC6" s="306"/>
      <c r="AD6" s="306"/>
      <c r="AE6" s="306"/>
      <c r="AF6" s="306"/>
      <c r="AH6" s="35" t="e">
        <f>ROUND(SUMIF('Пример-ралли'!$AC$11:$AC$15,TRUE,'Пример-ралли'!$AD$11:$AD$15)*VLOOKUP(с_вид_участия,т_вид_участия,3,0),0)</f>
        <v>#REF!</v>
      </c>
      <c r="AI6" s="34" t="e">
        <f>VLOOKUP(AH6,т_время_победителя,2,1)</f>
        <v>#REF!</v>
      </c>
      <c r="AJ6" s="30" t="e">
        <f>VLOOKUP(AH6,т_время_победителя,3,1)</f>
        <v>#REF!</v>
      </c>
      <c r="AK6" s="31" t="e">
        <f>VLOOKUP(AH6,т_время_победителя,4,1)</f>
        <v>#REF!</v>
      </c>
      <c r="AL6" s="74" t="e">
        <f>VLOOKUP(ранг,т_класс_дистанции,2,1)</f>
        <v>#REF!</v>
      </c>
      <c r="AO6" s="114">
        <v>1200</v>
      </c>
    </row>
    <row r="7" spans="1:34" ht="15">
      <c r="A7" s="1"/>
      <c r="B7" s="1"/>
      <c r="C7" s="1"/>
      <c r="D7" s="1"/>
      <c r="E7" s="1"/>
      <c r="F7" s="1"/>
      <c r="G7" s="2"/>
      <c r="H7" s="1"/>
      <c r="I7" s="1"/>
      <c r="J7" s="1"/>
      <c r="K7" s="1"/>
      <c r="L7" s="1"/>
      <c r="AH7" s="229"/>
    </row>
    <row r="8" spans="1:34" ht="16.5" thickBot="1">
      <c r="A8" s="332" t="s">
        <v>42</v>
      </c>
      <c r="B8" s="332"/>
      <c r="C8" s="332"/>
      <c r="D8" s="332"/>
      <c r="E8" s="332"/>
      <c r="F8" s="332"/>
      <c r="G8" s="332"/>
      <c r="H8" s="332"/>
      <c r="I8" s="332"/>
      <c r="J8" s="332"/>
      <c r="K8" s="332"/>
      <c r="L8" s="332"/>
      <c r="AH8" s="201"/>
    </row>
    <row r="9" spans="1:34" ht="15.75">
      <c r="A9" s="288" t="s">
        <v>197</v>
      </c>
      <c r="B9" s="288"/>
      <c r="C9" s="288"/>
      <c r="D9" s="288"/>
      <c r="E9" s="288"/>
      <c r="F9" s="288"/>
      <c r="G9" s="288"/>
      <c r="H9" s="288"/>
      <c r="I9" s="288"/>
      <c r="J9" s="288"/>
      <c r="K9" s="288"/>
      <c r="L9" s="288"/>
      <c r="M9" s="329" t="s">
        <v>171</v>
      </c>
      <c r="N9" s="329"/>
      <c r="O9" s="329" t="s">
        <v>168</v>
      </c>
      <c r="P9" s="329"/>
      <c r="Q9" s="329"/>
      <c r="R9" s="329"/>
      <c r="S9" s="329"/>
      <c r="T9" s="329"/>
      <c r="U9" s="329"/>
      <c r="V9" s="329"/>
      <c r="W9" s="329"/>
      <c r="X9" s="329"/>
      <c r="Y9" s="329" t="s">
        <v>179</v>
      </c>
      <c r="Z9" s="329"/>
      <c r="AA9" s="329"/>
      <c r="AB9" s="329"/>
      <c r="AC9" s="329"/>
      <c r="AD9" s="329"/>
      <c r="AE9" s="329"/>
      <c r="AF9" s="329"/>
      <c r="AH9" s="196" t="s">
        <v>57</v>
      </c>
    </row>
    <row r="10" spans="1:34" ht="60.75" thickBot="1">
      <c r="A10" s="230" t="s">
        <v>33</v>
      </c>
      <c r="B10" s="152" t="s">
        <v>39</v>
      </c>
      <c r="C10" s="153" t="s">
        <v>41</v>
      </c>
      <c r="D10" s="154" t="s">
        <v>178</v>
      </c>
      <c r="E10" s="154" t="s">
        <v>176</v>
      </c>
      <c r="F10" s="154" t="s">
        <v>177</v>
      </c>
      <c r="G10" s="154" t="s">
        <v>189</v>
      </c>
      <c r="H10" s="154" t="s">
        <v>188</v>
      </c>
      <c r="I10" s="154" t="s">
        <v>37</v>
      </c>
      <c r="J10" s="154" t="s">
        <v>36</v>
      </c>
      <c r="K10" s="154" t="s">
        <v>149</v>
      </c>
      <c r="L10" s="155" t="s">
        <v>151</v>
      </c>
      <c r="M10" s="156" t="s">
        <v>172</v>
      </c>
      <c r="N10" s="157" t="s">
        <v>173</v>
      </c>
      <c r="O10" s="156" t="s">
        <v>136</v>
      </c>
      <c r="P10" s="156" t="s">
        <v>137</v>
      </c>
      <c r="Q10" s="156" t="s">
        <v>138</v>
      </c>
      <c r="R10" s="176" t="s">
        <v>185</v>
      </c>
      <c r="S10" s="176" t="s">
        <v>186</v>
      </c>
      <c r="T10" s="176" t="s">
        <v>187</v>
      </c>
      <c r="U10" s="156" t="s">
        <v>170</v>
      </c>
      <c r="V10" s="157" t="s">
        <v>152</v>
      </c>
      <c r="W10" s="152" t="s">
        <v>174</v>
      </c>
      <c r="X10" s="152" t="s">
        <v>175</v>
      </c>
      <c r="Y10" s="158" t="s">
        <v>181</v>
      </c>
      <c r="Z10" s="159" t="s">
        <v>0</v>
      </c>
      <c r="AA10" s="178" t="s">
        <v>180</v>
      </c>
      <c r="AB10" s="15" t="s">
        <v>45</v>
      </c>
      <c r="AC10" s="15" t="s">
        <v>64</v>
      </c>
      <c r="AD10" s="15" t="s">
        <v>59</v>
      </c>
      <c r="AE10" s="70" t="s">
        <v>8</v>
      </c>
      <c r="AF10" s="130" t="s">
        <v>161</v>
      </c>
      <c r="AH10" s="45" t="s">
        <v>56</v>
      </c>
    </row>
    <row r="11" spans="1:32" ht="18" customHeight="1">
      <c r="A11" s="173">
        <v>1</v>
      </c>
      <c r="B11" s="16">
        <f>_xlfn.IFERROR(VLOOKUP(#REF!,#REF!,2,0),0)</f>
        <v>0</v>
      </c>
      <c r="C11" s="161">
        <f>_xlfn.IFERROR(VLOOKUP('Пример-ралли'!$A11,#REF!,3,0),0)</f>
        <v>0</v>
      </c>
      <c r="D11" s="116">
        <v>0</v>
      </c>
      <c r="E11" s="116">
        <v>0</v>
      </c>
      <c r="F11" s="116">
        <v>0</v>
      </c>
      <c r="G11" s="116">
        <v>0.014780092592592595</v>
      </c>
      <c r="H11" s="116"/>
      <c r="I11" s="116">
        <v>0</v>
      </c>
      <c r="J11" s="116">
        <v>0</v>
      </c>
      <c r="K11" s="175">
        <v>0.054317129629629625</v>
      </c>
      <c r="L11" s="144">
        <f>IF('Пример-ралли'!$K11-'Пример-ралли'!$F11-'Пример-ралли'!$D11&lt;=КВ,0,'Пример-ралли'!$K11-'Пример-ралли'!$F11-'Пример-ралли'!$D11-КВ)</f>
        <v>0</v>
      </c>
      <c r="M11" s="145"/>
      <c r="N11" s="141" t="e">
        <f>'Пример-ралли'!$M11*ЦенаБалла</f>
        <v>#REF!</v>
      </c>
      <c r="O11" s="145"/>
      <c r="P11" s="145"/>
      <c r="Q11" s="145">
        <v>0</v>
      </c>
      <c r="R11" s="145">
        <v>0</v>
      </c>
      <c r="S11" s="145">
        <v>0</v>
      </c>
      <c r="T11" s="145">
        <v>0</v>
      </c>
      <c r="U11" s="145"/>
      <c r="V11" s="146">
        <f>IF('Пример-ралли'!$L11&gt;0,штраф_КВ,0)</f>
        <v>0</v>
      </c>
      <c r="W11" s="142">
        <f>SUM('Пример-ралли'!$O11:$V11)</f>
        <v>0</v>
      </c>
      <c r="X11" s="132" t="e">
        <f>'Пример-ралли'!$W11*ЦенаБалла</f>
        <v>#REF!</v>
      </c>
      <c r="Y11" s="150" t="e">
        <f>ROUND('Пример-ралли'!$K11+'Пример-ралли'!$X11-'Пример-ралли'!$F11-'Пример-ралли'!$D11-'Пример-ралли'!$E11-'Пример-ралли'!$N11-'Пример-ралли'!$G11,10)</f>
        <v>#REF!</v>
      </c>
      <c r="Z11" s="151" t="e">
        <f>SUM(--(FREQUENCY(('Пример-ралли'!$Y$11:$Y$15&lt;='Пример-ралли'!$Y11)*'Пример-ралли'!$Y$11:$Y$15,'Пример-ралли'!$Y$11:$Y$15)&gt;0))</f>
        <v>#REF!</v>
      </c>
      <c r="AA11" s="147" t="e">
        <f>HLOOKUP(ВидДистанции,ТаблицаБаллов,MATCH('Пример-ралли'!$Z11,ЗанятоеМесто,0),0)</f>
        <v>#REF!</v>
      </c>
      <c r="AB11" s="112" t="e">
        <f>100*'Пример-ралли'!$Y11/MIN('Пример-ралли'!$Y$11:$Y$15)</f>
        <v>#REF!</v>
      </c>
      <c r="AC11" s="95" t="e">
        <f>'Пример-ралли'!$Z11&lt;=VLOOKUP(с_вид_участия,т_вид_участия,2,0)</f>
        <v>#REF!</v>
      </c>
      <c r="AD11" s="231" t="e">
        <f>IF('Пример-ралли'!$AC11=FALSE,0,VLOOKUP('Пример-ралли'!$A11,#REF!,COLUMN(#REF!),0))</f>
        <v>#REF!</v>
      </c>
      <c r="AE11" s="182" t="e">
        <f>IF('Пример-ралли'!$AB11&lt;=$AI$6,"1 разряд",IF('Пример-ралли'!$AB11&lt;=$AJ$6,"2 разряд",IF('Пример-ралли'!$AB11&lt;=$AK$6,"3 разряд","")))</f>
        <v>#REF!</v>
      </c>
      <c r="AF11" s="100" t="e">
        <f>'Пример-ралли'!$X11+'Пример-ралли'!$Y11</f>
        <v>#REF!</v>
      </c>
    </row>
    <row r="12" spans="1:32" ht="15.75">
      <c r="A12" s="173">
        <v>2</v>
      </c>
      <c r="B12" s="16">
        <f>_xlfn.IFERROR(VLOOKUP(#REF!,#REF!,2,0),0)</f>
        <v>0</v>
      </c>
      <c r="C12" s="161">
        <f>_xlfn.IFERROR(VLOOKUP('Пример-ралли'!$A12,#REF!,3,0),0)</f>
        <v>0</v>
      </c>
      <c r="D12" s="116">
        <v>0</v>
      </c>
      <c r="E12" s="116">
        <v>0</v>
      </c>
      <c r="F12" s="116">
        <v>0</v>
      </c>
      <c r="G12" s="116">
        <v>0.014560185185185183</v>
      </c>
      <c r="H12" s="116"/>
      <c r="I12" s="116">
        <v>0</v>
      </c>
      <c r="J12" s="116">
        <v>0</v>
      </c>
      <c r="K12" s="175">
        <v>0.06008101851851852</v>
      </c>
      <c r="L12" s="138">
        <f>IF('Пример-ралли'!$K12-'Пример-ралли'!$F12-'Пример-ралли'!$D12&lt;=КВ,0,'Пример-ралли'!$K12-'Пример-ралли'!$F12-'Пример-ралли'!$D12-КВ)</f>
        <v>0</v>
      </c>
      <c r="M12" s="145"/>
      <c r="N12" s="141" t="e">
        <f>'Пример-ралли'!$M12*ЦенаБалла</f>
        <v>#REF!</v>
      </c>
      <c r="O12" s="139"/>
      <c r="P12" s="139"/>
      <c r="Q12" s="139">
        <v>50</v>
      </c>
      <c r="R12" s="139">
        <v>0</v>
      </c>
      <c r="S12" s="139">
        <v>0</v>
      </c>
      <c r="T12" s="139">
        <v>15</v>
      </c>
      <c r="U12" s="139"/>
      <c r="V12" s="140">
        <f>IF('Пример-ралли'!$L12&gt;0,штраф_КВ,0)</f>
        <v>0</v>
      </c>
      <c r="W12" s="115">
        <f>SUM('Пример-ралли'!$O12:$V12)</f>
        <v>65</v>
      </c>
      <c r="X12" s="141" t="e">
        <f>'Пример-ралли'!$W12*ЦенаБалла</f>
        <v>#REF!</v>
      </c>
      <c r="Y12" s="150" t="e">
        <f>ROUND('Пример-ралли'!$K12+'Пример-ралли'!$X12-'Пример-ралли'!$F12-'Пример-ралли'!$D12-'Пример-ралли'!$E12-'Пример-ралли'!$N12-'Пример-ралли'!$G12,10)</f>
        <v>#REF!</v>
      </c>
      <c r="Z12" s="151" t="e">
        <f>SUM(--(FREQUENCY(('Пример-ралли'!$Y$11:$Y$15&lt;='Пример-ралли'!$Y12)*'Пример-ралли'!$Y$11:$Y$15,'Пример-ралли'!$Y$11:$Y$15)&gt;0))</f>
        <v>#REF!</v>
      </c>
      <c r="AA12" s="143" t="e">
        <f>HLOOKUP(ВидДистанции,ТаблицаБаллов,MATCH('Пример-ралли'!$Z12,ЗанятоеМесто,0),0)</f>
        <v>#REF!</v>
      </c>
      <c r="AB12" s="112" t="e">
        <f>100*'Пример-ралли'!$Y12/MIN('Пример-ралли'!$Y$11:$Y$15)</f>
        <v>#REF!</v>
      </c>
      <c r="AC12" s="95" t="e">
        <f>'Пример-ралли'!$Z12&lt;=VLOOKUP(с_вид_участия,т_вид_участия,2,0)</f>
        <v>#REF!</v>
      </c>
      <c r="AD12" s="231" t="e">
        <f>IF('Пример-ралли'!$AC12=FALSE,0,VLOOKUP('Пример-ралли'!$A12,#REF!,COLUMN(#REF!),0))</f>
        <v>#REF!</v>
      </c>
      <c r="AE12" s="182" t="e">
        <f>IF('Пример-ралли'!$AB12&lt;=$AI$6,"1 разряд",IF('Пример-ралли'!$AB12&lt;=$AJ$6,"2 разряд",IF('Пример-ралли'!$AB12&lt;=$AK$6,"3 разряд","")))</f>
        <v>#REF!</v>
      </c>
      <c r="AF12" s="100" t="e">
        <f>'Пример-ралли'!$X12+'Пример-ралли'!$Y12</f>
        <v>#REF!</v>
      </c>
    </row>
    <row r="13" spans="1:32" ht="15.75">
      <c r="A13" s="173">
        <v>3</v>
      </c>
      <c r="B13" s="16">
        <f>_xlfn.IFERROR(VLOOKUP(#REF!,#REF!,2,0),0)</f>
        <v>0</v>
      </c>
      <c r="C13" s="161">
        <f>_xlfn.IFERROR(VLOOKUP('Пример-ралли'!$A13,#REF!,3,0),0)</f>
        <v>0</v>
      </c>
      <c r="D13" s="116">
        <v>0</v>
      </c>
      <c r="E13" s="116">
        <v>0</v>
      </c>
      <c r="F13" s="116">
        <v>0</v>
      </c>
      <c r="G13" s="116">
        <v>0.018206018518518517</v>
      </c>
      <c r="H13" s="116"/>
      <c r="I13" s="116">
        <v>0</v>
      </c>
      <c r="J13" s="116">
        <v>0</v>
      </c>
      <c r="K13" s="175">
        <v>0.06405092592592593</v>
      </c>
      <c r="L13" s="138">
        <f>IF('Пример-ралли'!$K13-'Пример-ралли'!$F13-'Пример-ралли'!$D13&lt;=КВ,0,'Пример-ралли'!$K13-'Пример-ралли'!$F13-'Пример-ралли'!$D13-КВ)</f>
        <v>0</v>
      </c>
      <c r="M13" s="145"/>
      <c r="N13" s="141" t="e">
        <f>'Пример-ралли'!$M13*ЦенаБалла</f>
        <v>#REF!</v>
      </c>
      <c r="O13" s="139"/>
      <c r="P13" s="139"/>
      <c r="Q13" s="139">
        <v>0</v>
      </c>
      <c r="R13" s="139">
        <v>0</v>
      </c>
      <c r="S13" s="139">
        <v>0</v>
      </c>
      <c r="T13" s="139">
        <v>45</v>
      </c>
      <c r="U13" s="139"/>
      <c r="V13" s="140">
        <f>IF('Пример-ралли'!$L13&gt;0,штраф_КВ,0)</f>
        <v>0</v>
      </c>
      <c r="W13" s="115">
        <f>SUM('Пример-ралли'!$O13:$V13)</f>
        <v>45</v>
      </c>
      <c r="X13" s="141" t="e">
        <f>'Пример-ралли'!$W13*ЦенаБалла</f>
        <v>#REF!</v>
      </c>
      <c r="Y13" s="150" t="e">
        <f>ROUND('Пример-ралли'!$K13+'Пример-ралли'!$X13-'Пример-ралли'!$F13-'Пример-ралли'!$D13-'Пример-ралли'!$E13-'Пример-ралли'!$N13-'Пример-ралли'!$G13,10)</f>
        <v>#REF!</v>
      </c>
      <c r="Z13" s="151" t="e">
        <f>SUM(--(FREQUENCY(('Пример-ралли'!$Y$11:$Y$15&lt;='Пример-ралли'!$Y13)*'Пример-ралли'!$Y$11:$Y$15,'Пример-ралли'!$Y$11:$Y$15)&gt;0))</f>
        <v>#REF!</v>
      </c>
      <c r="AA13" s="143" t="e">
        <f>HLOOKUP(ВидДистанции,ТаблицаБаллов,MATCH('Пример-ралли'!$Z13,ЗанятоеМесто,0),0)</f>
        <v>#REF!</v>
      </c>
      <c r="AB13" s="112" t="e">
        <f>100*'Пример-ралли'!$Y13/MIN('Пример-ралли'!$Y$11:$Y$15)</f>
        <v>#REF!</v>
      </c>
      <c r="AC13" s="95" t="e">
        <f>'Пример-ралли'!$Z13&lt;=VLOOKUP(с_вид_участия,т_вид_участия,2,0)</f>
        <v>#REF!</v>
      </c>
      <c r="AD13" s="231" t="e">
        <f>IF('Пример-ралли'!$AC13=FALSE,0,VLOOKUP('Пример-ралли'!$A13,#REF!,COLUMN(#REF!),0))</f>
        <v>#REF!</v>
      </c>
      <c r="AE13" s="182" t="e">
        <f>IF('Пример-ралли'!$AB13&lt;=$AI$6,"1 разряд",IF('Пример-ралли'!$AB13&lt;=$AJ$6,"2 разряд",IF('Пример-ралли'!$AB13&lt;=$AK$6,"3 разряд","")))</f>
        <v>#REF!</v>
      </c>
      <c r="AF13" s="100" t="e">
        <f>'Пример-ралли'!$X13+'Пример-ралли'!$Y13</f>
        <v>#REF!</v>
      </c>
    </row>
    <row r="14" spans="1:32" ht="15.75">
      <c r="A14" s="173">
        <v>4</v>
      </c>
      <c r="B14" s="166">
        <f>_xlfn.IFERROR(VLOOKUP(#REF!,#REF!,2,0),0)</f>
        <v>0</v>
      </c>
      <c r="C14" s="161">
        <f>_xlfn.IFERROR(VLOOKUP('Пример-ралли'!$A14,#REF!,3,0),0)</f>
        <v>0</v>
      </c>
      <c r="D14" s="116">
        <v>0</v>
      </c>
      <c r="E14" s="116">
        <v>0</v>
      </c>
      <c r="F14" s="116">
        <v>0</v>
      </c>
      <c r="G14" s="116">
        <v>0.014351851851851852</v>
      </c>
      <c r="H14" s="116"/>
      <c r="I14" s="116">
        <v>0</v>
      </c>
      <c r="J14" s="116">
        <v>0</v>
      </c>
      <c r="K14" s="175">
        <v>0.059375000000000004</v>
      </c>
      <c r="L14" s="144">
        <f>IF('Пример-ралли'!$K14-'Пример-ралли'!$F14-'Пример-ралли'!$D14&lt;=КВ,0,'Пример-ралли'!$K14-'Пример-ралли'!$F14-'Пример-ралли'!$D14-КВ)</f>
        <v>0</v>
      </c>
      <c r="M14" s="145"/>
      <c r="N14" s="141" t="e">
        <f>'Пример-ралли'!$M14*ЦенаБалла</f>
        <v>#REF!</v>
      </c>
      <c r="O14" s="145"/>
      <c r="P14" s="145"/>
      <c r="Q14" s="145">
        <v>0</v>
      </c>
      <c r="R14" s="145">
        <v>0</v>
      </c>
      <c r="S14" s="145">
        <v>100</v>
      </c>
      <c r="T14" s="145">
        <v>35</v>
      </c>
      <c r="U14" s="145"/>
      <c r="V14" s="146">
        <f>IF('Пример-ралли'!$L14&gt;0,штраф_КВ,0)</f>
        <v>0</v>
      </c>
      <c r="W14" s="142">
        <f>SUM('Пример-ралли'!$O14:$V14)</f>
        <v>135</v>
      </c>
      <c r="X14" s="132" t="e">
        <f>'Пример-ралли'!$W14*ЦенаБалла</f>
        <v>#REF!</v>
      </c>
      <c r="Y14" s="150" t="e">
        <f>ROUND('Пример-ралли'!$K14+'Пример-ралли'!$X14-'Пример-ралли'!$F14-'Пример-ралли'!$D14-'Пример-ралли'!$E14-'Пример-ралли'!$N14-'Пример-ралли'!$G14,10)</f>
        <v>#REF!</v>
      </c>
      <c r="Z14" s="151" t="e">
        <f>SUM(--(FREQUENCY(('Пример-ралли'!$Y$11:$Y$15&lt;='Пример-ралли'!$Y14)*'Пример-ралли'!$Y$11:$Y$15,'Пример-ралли'!$Y$11:$Y$15)&gt;0))</f>
        <v>#REF!</v>
      </c>
      <c r="AA14" s="147" t="e">
        <f>HLOOKUP(ВидДистанции,ТаблицаБаллов,MATCH('Пример-ралли'!$Z14,ЗанятоеМесто,0),0)</f>
        <v>#REF!</v>
      </c>
      <c r="AB14" s="112" t="e">
        <f>100*'Пример-ралли'!$Y14/MIN('Пример-ралли'!$Y$11:$Y$15)</f>
        <v>#REF!</v>
      </c>
      <c r="AC14" s="95" t="e">
        <f>'Пример-ралли'!$Z14&lt;=VLOOKUP(с_вид_участия,т_вид_участия,2,0)</f>
        <v>#REF!</v>
      </c>
      <c r="AD14" s="231" t="e">
        <f>IF('Пример-ралли'!$AC14=FALSE,0,VLOOKUP('Пример-ралли'!$A14,#REF!,COLUMN(#REF!),0))</f>
        <v>#REF!</v>
      </c>
      <c r="AE14" s="182" t="e">
        <f>IF('Пример-ралли'!$AB14&lt;=$AI$6,"1 разряд",IF('Пример-ралли'!$AB14&lt;=$AJ$6,"2 разряд",IF('Пример-ралли'!$AB14&lt;=$AK$6,"3 разряд","")))</f>
        <v>#REF!</v>
      </c>
      <c r="AF14" s="100" t="e">
        <f>'Пример-ралли'!$X14+'Пример-ралли'!$Y14</f>
        <v>#REF!</v>
      </c>
    </row>
    <row r="15" spans="1:32" ht="15.75">
      <c r="A15" s="173">
        <v>5</v>
      </c>
      <c r="B15" s="166">
        <f>_xlfn.IFERROR(VLOOKUP(#REF!,#REF!,2,0),0)</f>
        <v>0</v>
      </c>
      <c r="C15" s="161">
        <f>_xlfn.IFERROR(VLOOKUP('Пример-ралли'!$A15,#REF!,3,0),0)</f>
        <v>0</v>
      </c>
      <c r="D15" s="116">
        <v>0</v>
      </c>
      <c r="E15" s="116">
        <v>0</v>
      </c>
      <c r="F15" s="116">
        <v>0</v>
      </c>
      <c r="G15" s="116">
        <v>0.012037037037037035</v>
      </c>
      <c r="H15" s="116"/>
      <c r="I15" s="116">
        <v>0</v>
      </c>
      <c r="J15" s="116">
        <v>0</v>
      </c>
      <c r="K15" s="175">
        <v>0.06150462962962963</v>
      </c>
      <c r="L15" s="144">
        <f>IF('Пример-ралли'!$K15-'Пример-ралли'!$F15-'Пример-ралли'!$D15&lt;=КВ,0,'Пример-ралли'!$K15-'Пример-ралли'!$F15-'Пример-ралли'!$D15-КВ)</f>
        <v>0</v>
      </c>
      <c r="M15" s="145"/>
      <c r="N15" s="141" t="e">
        <f>'Пример-ралли'!$M15*ЦенаБалла</f>
        <v>#REF!</v>
      </c>
      <c r="O15" s="145"/>
      <c r="P15" s="145"/>
      <c r="Q15" s="145">
        <v>0</v>
      </c>
      <c r="R15" s="145">
        <v>0</v>
      </c>
      <c r="S15" s="145">
        <v>0</v>
      </c>
      <c r="T15" s="145">
        <v>50</v>
      </c>
      <c r="U15" s="145"/>
      <c r="V15" s="146">
        <f>IF('Пример-ралли'!$L15&gt;0,штраф_КВ,0)</f>
        <v>0</v>
      </c>
      <c r="W15" s="142">
        <f>SUM('Пример-ралли'!$O15:$V15)</f>
        <v>50</v>
      </c>
      <c r="X15" s="132" t="e">
        <f>'Пример-ралли'!$W15*ЦенаБалла</f>
        <v>#REF!</v>
      </c>
      <c r="Y15" s="150" t="e">
        <f>ROUND('Пример-ралли'!$K15+'Пример-ралли'!$X15-'Пример-ралли'!$F15-'Пример-ралли'!$D15-'Пример-ралли'!$E15-'Пример-ралли'!$N15-'Пример-ралли'!$G15,10)</f>
        <v>#REF!</v>
      </c>
      <c r="Z15" s="151" t="e">
        <f>SUM(--(FREQUENCY(('Пример-ралли'!$Y$11:$Y$15&lt;='Пример-ралли'!$Y15)*'Пример-ралли'!$Y$11:$Y$15,'Пример-ралли'!$Y$11:$Y$15)&gt;0))</f>
        <v>#REF!</v>
      </c>
      <c r="AA15" s="147" t="e">
        <f>HLOOKUP(ВидДистанции,ТаблицаБаллов,MATCH('Пример-ралли'!$Z15,ЗанятоеМесто,0),0)</f>
        <v>#REF!</v>
      </c>
      <c r="AB15" s="112" t="e">
        <f>100*'Пример-ралли'!$Y15/MIN('Пример-ралли'!$Y$11:$Y$15)</f>
        <v>#REF!</v>
      </c>
      <c r="AC15" s="95" t="e">
        <f>'Пример-ралли'!$Z15&lt;=VLOOKUP(с_вид_участия,т_вид_участия,2,0)</f>
        <v>#REF!</v>
      </c>
      <c r="AD15" s="231" t="e">
        <f>IF('Пример-ралли'!$AC15=FALSE,0,VLOOKUP('Пример-ралли'!$A15,#REF!,COLUMN(#REF!),0))</f>
        <v>#REF!</v>
      </c>
      <c r="AE15" s="182" t="e">
        <f>IF('Пример-ралли'!$AB15&lt;=$AI$6,"1 разряд",IF('Пример-ралли'!$AB15&lt;=$AJ$6,"2 разряд",IF('Пример-ралли'!$AB15&lt;=$AK$6,"3 разряд","")))</f>
        <v>#REF!</v>
      </c>
      <c r="AF15" s="100" t="e">
        <f>'Пример-ралли'!$X15+'Пример-ралли'!$Y15</f>
        <v>#REF!</v>
      </c>
    </row>
    <row r="16" spans="1:12" ht="25.5" customHeight="1" outlineLevel="1">
      <c r="A16" s="325" t="s">
        <v>159</v>
      </c>
      <c r="B16" s="325"/>
      <c r="C16" s="325"/>
      <c r="D16" s="325"/>
      <c r="E16" s="325"/>
      <c r="F16" s="325"/>
      <c r="G16" s="181" t="e">
        <f>"Класс дистанции - "&amp;VLOOKUP(ранг,т_класс_дистанции,3,1)&amp;""</f>
        <v>#REF!</v>
      </c>
      <c r="H16" s="321" t="e">
        <f>"Квалификационный ранг  - "&amp;AH6</f>
        <v>#REF!</v>
      </c>
      <c r="I16" s="321"/>
      <c r="J16" s="321"/>
      <c r="K16" s="321"/>
      <c r="L16" s="321"/>
    </row>
    <row r="17" spans="1:12" ht="24" customHeight="1" outlineLevel="1">
      <c r="A17" s="325"/>
      <c r="B17" s="325"/>
      <c r="C17" s="325"/>
      <c r="D17" s="325"/>
      <c r="E17" s="325"/>
      <c r="F17" s="325"/>
      <c r="G17" s="181" t="s">
        <v>11</v>
      </c>
      <c r="H17" s="321" t="e">
        <f>IF(AI6=0,"не присваивается",AI6&amp;" % от результата победителя")</f>
        <v>#REF!</v>
      </c>
      <c r="I17" s="321"/>
      <c r="J17" s="321"/>
      <c r="K17" s="321"/>
      <c r="L17" s="321"/>
    </row>
    <row r="18" spans="1:12" ht="24" customHeight="1" outlineLevel="1">
      <c r="A18" s="26"/>
      <c r="B18" s="26"/>
      <c r="C18" s="27"/>
      <c r="D18" s="28"/>
      <c r="E18" s="25"/>
      <c r="G18" s="181" t="s">
        <v>12</v>
      </c>
      <c r="H18" s="321" t="e">
        <f>IF(AJ6=0,"не присваивается",AJ6&amp;" % от результата победителя")</f>
        <v>#REF!</v>
      </c>
      <c r="I18" s="321"/>
      <c r="J18" s="321"/>
      <c r="K18" s="321"/>
      <c r="L18" s="321"/>
    </row>
    <row r="19" spans="1:12" ht="24" customHeight="1" outlineLevel="1">
      <c r="A19" s="26"/>
      <c r="B19" s="26"/>
      <c r="C19" s="27"/>
      <c r="D19" s="28"/>
      <c r="E19" s="25"/>
      <c r="G19" s="181" t="s">
        <v>13</v>
      </c>
      <c r="H19" s="321" t="e">
        <f>AK6&amp;" % от результата победителя"</f>
        <v>#REF!</v>
      </c>
      <c r="I19" s="321"/>
      <c r="J19" s="321"/>
      <c r="K19" s="321"/>
      <c r="L19" s="321"/>
    </row>
    <row r="20" spans="1:11" ht="15">
      <c r="A20" s="25"/>
      <c r="B20" s="25"/>
      <c r="C20" s="25"/>
      <c r="D20" s="25"/>
      <c r="E20" s="25"/>
      <c r="F20" s="3"/>
      <c r="G20" s="5"/>
      <c r="H20" s="3"/>
      <c r="I20" s="1"/>
      <c r="J20" s="1"/>
      <c r="K20" s="1"/>
    </row>
    <row r="21" spans="1:8" ht="15.75">
      <c r="A21" s="326" t="s">
        <v>7</v>
      </c>
      <c r="B21" s="326"/>
      <c r="C21" s="326"/>
      <c r="D21" s="304"/>
      <c r="E21" s="304"/>
      <c r="F21" s="54" t="e">
        <f>фиосудья</f>
        <v>#REF!</v>
      </c>
      <c r="G21" s="179"/>
      <c r="H21" s="14"/>
    </row>
    <row r="22" spans="1:8" ht="15.75">
      <c r="A22" s="326" t="s">
        <v>6</v>
      </c>
      <c r="B22" s="326"/>
      <c r="C22" s="326"/>
      <c r="D22" s="179"/>
      <c r="E22" s="179"/>
      <c r="F22" s="12" t="e">
        <f>фиосекретарь</f>
        <v>#REF!</v>
      </c>
      <c r="G22" s="179"/>
      <c r="H22" s="14"/>
    </row>
    <row r="23" spans="1:8" ht="15">
      <c r="A23" s="303" t="e">
        <f>дата_протокол</f>
        <v>#REF!</v>
      </c>
      <c r="B23" s="303"/>
      <c r="C23" s="303"/>
      <c r="D23" s="304"/>
      <c r="E23" s="304"/>
      <c r="F23" s="14"/>
      <c r="G23" s="179"/>
      <c r="H23" s="14"/>
    </row>
    <row r="24" spans="1:8" ht="15">
      <c r="A24" s="14"/>
      <c r="B24" s="14"/>
      <c r="C24" s="14"/>
      <c r="D24" s="14"/>
      <c r="E24" s="14"/>
      <c r="F24" s="14"/>
      <c r="G24" s="179"/>
      <c r="H24" s="14"/>
    </row>
    <row r="25" spans="1:8" ht="15">
      <c r="A25" s="14"/>
      <c r="B25" s="14"/>
      <c r="C25" s="14"/>
      <c r="D25" s="14"/>
      <c r="E25" s="14"/>
      <c r="F25" s="14"/>
      <c r="G25" s="179"/>
      <c r="H25" s="14"/>
    </row>
    <row r="26" spans="1:8" ht="15">
      <c r="A26" s="14"/>
      <c r="B26" s="14"/>
      <c r="F26" s="14"/>
      <c r="G26" s="179"/>
      <c r="H26" s="14"/>
    </row>
    <row r="27" spans="1:8" ht="15">
      <c r="A27" s="179"/>
      <c r="B27" s="179"/>
      <c r="F27" s="179"/>
      <c r="G27" s="179"/>
      <c r="H27" s="14"/>
    </row>
    <row r="28" spans="1:8" ht="15">
      <c r="A28" s="14"/>
      <c r="B28" s="14"/>
      <c r="C28" s="14"/>
      <c r="D28" s="14"/>
      <c r="E28" s="14"/>
      <c r="F28" s="14"/>
      <c r="G28" s="179"/>
      <c r="H28" s="14"/>
    </row>
    <row r="29" spans="1:8" ht="15">
      <c r="A29" s="14"/>
      <c r="B29" s="14"/>
      <c r="F29" s="14"/>
      <c r="G29" s="179"/>
      <c r="H29" s="14"/>
    </row>
    <row r="30" spans="1:13" ht="15">
      <c r="A30" s="14"/>
      <c r="B30" s="14"/>
      <c r="F30" s="14"/>
      <c r="G30" s="179"/>
      <c r="H30" s="14"/>
      <c r="I30" s="14"/>
      <c r="J30" s="14"/>
      <c r="K30" s="14"/>
      <c r="L30" s="14"/>
      <c r="M30" s="14"/>
    </row>
    <row r="31" spans="1:13" ht="15">
      <c r="A31" s="14"/>
      <c r="B31" s="14"/>
      <c r="F31" s="14"/>
      <c r="G31" s="179"/>
      <c r="H31" s="14"/>
      <c r="I31" s="14"/>
      <c r="J31" s="14"/>
      <c r="K31" s="14"/>
      <c r="L31" s="14"/>
      <c r="M31" s="14"/>
    </row>
    <row r="32" spans="1:13" ht="15">
      <c r="A32" s="14"/>
      <c r="B32" s="14"/>
      <c r="F32" s="14"/>
      <c r="G32" s="179"/>
      <c r="H32" s="14"/>
      <c r="I32" s="14"/>
      <c r="J32" s="14"/>
      <c r="K32" s="14"/>
      <c r="L32" s="14"/>
      <c r="M32" s="14"/>
    </row>
    <row r="33" spans="1:13" ht="15">
      <c r="A33" s="14"/>
      <c r="B33" s="14"/>
      <c r="F33" s="14"/>
      <c r="G33" s="179"/>
      <c r="H33" s="14"/>
      <c r="I33" s="14"/>
      <c r="J33" s="14"/>
      <c r="K33" s="14"/>
      <c r="L33" s="14"/>
      <c r="M33" s="14"/>
    </row>
    <row r="34" spans="1:13" ht="15">
      <c r="A34" s="14"/>
      <c r="B34" s="14"/>
      <c r="F34" s="14"/>
      <c r="G34" s="179"/>
      <c r="H34" s="14"/>
      <c r="I34" s="14"/>
      <c r="J34" s="14"/>
      <c r="K34" s="14"/>
      <c r="L34" s="14"/>
      <c r="M34" s="14"/>
    </row>
    <row r="35" spans="1:13" ht="15">
      <c r="A35" s="14"/>
      <c r="B35" s="14"/>
      <c r="F35" s="9"/>
      <c r="G35" s="179"/>
      <c r="H35" s="14"/>
      <c r="I35" s="14"/>
      <c r="J35" s="14"/>
      <c r="K35" s="14"/>
      <c r="L35" s="14"/>
      <c r="M35" s="14"/>
    </row>
    <row r="36" spans="6:13" ht="15">
      <c r="F36" s="14"/>
      <c r="G36" s="179"/>
      <c r="H36" s="14"/>
      <c r="I36" s="14"/>
      <c r="J36" s="14"/>
      <c r="K36" s="14"/>
      <c r="L36" s="14"/>
      <c r="M36" s="14"/>
    </row>
    <row r="37" spans="5:13" ht="15">
      <c r="E37" s="14"/>
      <c r="F37" s="14"/>
      <c r="G37" s="179"/>
      <c r="H37" s="14"/>
      <c r="I37" s="14"/>
      <c r="J37" s="14"/>
      <c r="K37" s="14"/>
      <c r="L37" s="14"/>
      <c r="M37" s="14"/>
    </row>
    <row r="38" spans="5:13" ht="15">
      <c r="E38" s="14"/>
      <c r="F38" s="14"/>
      <c r="G38" s="179"/>
      <c r="H38" s="14"/>
      <c r="I38" s="14"/>
      <c r="J38" s="14"/>
      <c r="K38" s="14"/>
      <c r="L38" s="14"/>
      <c r="M38" s="14"/>
    </row>
    <row r="39" spans="5:13" ht="15">
      <c r="E39" s="14"/>
      <c r="F39" s="14"/>
      <c r="G39" s="179"/>
      <c r="H39" s="14"/>
      <c r="I39" s="14"/>
      <c r="J39" s="14"/>
      <c r="K39" s="14"/>
      <c r="L39" s="14"/>
      <c r="M39" s="14"/>
    </row>
    <row r="40" spans="5:13" ht="15">
      <c r="E40" s="14"/>
      <c r="F40" s="14"/>
      <c r="G40" s="179"/>
      <c r="H40" s="14"/>
      <c r="I40" s="14"/>
      <c r="J40" s="14"/>
      <c r="K40" s="14"/>
      <c r="L40" s="14"/>
      <c r="M40" s="14"/>
    </row>
    <row r="41" spans="5:13" ht="15">
      <c r="E41" s="14"/>
      <c r="F41" s="14"/>
      <c r="G41" s="179"/>
      <c r="H41" s="14"/>
      <c r="I41" s="14"/>
      <c r="J41" s="14"/>
      <c r="K41" s="14"/>
      <c r="L41" s="14"/>
      <c r="M41" s="14"/>
    </row>
    <row r="42" spans="5:13" ht="15">
      <c r="E42" s="14"/>
      <c r="F42" s="14"/>
      <c r="G42" s="179"/>
      <c r="H42" s="14"/>
      <c r="I42" s="14"/>
      <c r="J42" s="14"/>
      <c r="K42" s="14"/>
      <c r="L42" s="14"/>
      <c r="M42" s="14"/>
    </row>
    <row r="43" spans="6:13" ht="15">
      <c r="F43" s="14"/>
      <c r="G43" s="179"/>
      <c r="H43" s="14"/>
      <c r="I43" s="14"/>
      <c r="J43" s="14"/>
      <c r="K43" s="14"/>
      <c r="L43" s="14"/>
      <c r="M43" s="14"/>
    </row>
    <row r="44" spans="6:13" ht="15">
      <c r="F44" s="14"/>
      <c r="G44" s="179"/>
      <c r="H44" s="14"/>
      <c r="I44" s="14"/>
      <c r="J44" s="14"/>
      <c r="K44" s="14"/>
      <c r="L44" s="14"/>
      <c r="M44" s="14"/>
    </row>
  </sheetData>
  <sheetProtection/>
  <mergeCells count="27">
    <mergeCell ref="M9:N9"/>
    <mergeCell ref="O9:X9"/>
    <mergeCell ref="Y9:AF9"/>
    <mergeCell ref="D1:AF1"/>
    <mergeCell ref="D2:AF2"/>
    <mergeCell ref="D3:AF3"/>
    <mergeCell ref="D4:AF4"/>
    <mergeCell ref="D5:AF5"/>
    <mergeCell ref="D6:AF6"/>
    <mergeCell ref="A9:L9"/>
    <mergeCell ref="A8:L8"/>
    <mergeCell ref="B4:C4"/>
    <mergeCell ref="B5:C5"/>
    <mergeCell ref="B6:C6"/>
    <mergeCell ref="B1:C1"/>
    <mergeCell ref="B2:C2"/>
    <mergeCell ref="H19:L19"/>
    <mergeCell ref="A21:C21"/>
    <mergeCell ref="D21:E21"/>
    <mergeCell ref="A22:C22"/>
    <mergeCell ref="A23:C23"/>
    <mergeCell ref="D23:E23"/>
    <mergeCell ref="B3:C3"/>
    <mergeCell ref="A16:F17"/>
    <mergeCell ref="H16:L16"/>
    <mergeCell ref="H17:L17"/>
    <mergeCell ref="H18:L18"/>
  </mergeCells>
  <dataValidations count="4">
    <dataValidation type="list" allowBlank="1" showInputMessage="1" showErrorMessage="1" sqref="AH10 AH8">
      <formula1>дистанцииБаллы</formula1>
    </dataValidation>
    <dataValidation type="list" allowBlank="1" showInputMessage="1" showErrorMessage="1" sqref="AH4">
      <formula1>вид_участия</formula1>
    </dataValidation>
    <dataValidation type="whole" operator="greaterThan" allowBlank="1" showErrorMessage="1" errorTitle="Внимание!" error="Данные в этой ячейке должны быть целым числом без любых дополнительных знаков." sqref="B11:B15">
      <formula1>0</formula1>
    </dataValidation>
    <dataValidation type="list" allowBlank="1" showInputMessage="1" showErrorMessage="1" sqref="D3">
      <formula1>дисциплины</formula1>
    </dataValidation>
  </dataValidations>
  <printOptions/>
  <pageMargins left="0.5905511811023623" right="0.5905511811023623" top="0.5905511811023623" bottom="0.5905511811023623" header="0" footer="0"/>
  <pageSetup fitToHeight="1" fitToWidth="1" horizontalDpi="300" verticalDpi="300" orientation="landscape" paperSize="9" scale="98" r:id="rId5"/>
  <drawing r:id="rId4"/>
  <legacyDrawing r:id="rId2"/>
  <tableParts>
    <tablePart r:id="rId3"/>
  </tableParts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5"/>
  <sheetViews>
    <sheetView zoomScalePageLayoutView="0" workbookViewId="0" topLeftCell="A1">
      <selection activeCell="I29" sqref="I29"/>
    </sheetView>
  </sheetViews>
  <sheetFormatPr defaultColWidth="9.140625" defaultRowHeight="15" outlineLevelCol="1"/>
  <cols>
    <col min="1" max="1" width="11.7109375" style="111" customWidth="1" outlineLevel="1"/>
    <col min="2" max="2" width="7.8515625" style="111" customWidth="1"/>
    <col min="3" max="3" width="29.00390625" style="111" customWidth="1"/>
    <col min="4" max="5" width="11.7109375" style="111" customWidth="1"/>
    <col min="6" max="6" width="11.7109375" style="111" hidden="1" customWidth="1"/>
    <col min="7" max="7" width="11.7109375" style="125" customWidth="1"/>
    <col min="8" max="8" width="5.8515625" style="111" hidden="1" customWidth="1"/>
    <col min="9" max="9" width="6.28125" style="111" customWidth="1"/>
    <col min="10" max="11" width="5.28125" style="111" customWidth="1"/>
    <col min="12" max="12" width="8.421875" style="111" customWidth="1"/>
    <col min="13" max="14" width="9.57421875" style="111" customWidth="1"/>
    <col min="15" max="15" width="10.00390625" style="111" customWidth="1"/>
    <col min="16" max="16384" width="9.140625" style="111" customWidth="1"/>
  </cols>
  <sheetData>
    <row r="1" spans="1:15" ht="26.25" customHeight="1">
      <c r="A1" s="288"/>
      <c r="B1" s="288"/>
      <c r="C1" s="288"/>
      <c r="D1" s="334" t="s">
        <v>157</v>
      </c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</row>
    <row r="2" spans="1:15" ht="21.75" customHeight="1">
      <c r="A2" s="288"/>
      <c r="B2" s="288"/>
      <c r="C2" s="288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</row>
    <row r="3" spans="1:15" ht="15.75" customHeight="1">
      <c r="A3" s="335" t="s">
        <v>1</v>
      </c>
      <c r="B3" s="335"/>
      <c r="C3" s="335"/>
      <c r="D3" s="306" t="e">
        <f>РангСоревнований</f>
        <v>#REF!</v>
      </c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</row>
    <row r="4" spans="1:15" ht="15.75" customHeight="1">
      <c r="A4" s="306" t="s">
        <v>2</v>
      </c>
      <c r="B4" s="306"/>
      <c r="C4" s="306"/>
      <c r="D4" s="300" t="s">
        <v>49</v>
      </c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2"/>
    </row>
    <row r="5" spans="1:15" ht="15.75" customHeight="1">
      <c r="A5" s="306" t="s">
        <v>3</v>
      </c>
      <c r="B5" s="306"/>
      <c r="C5" s="306"/>
      <c r="D5" s="305" t="s">
        <v>182</v>
      </c>
      <c r="E5" s="305"/>
      <c r="F5" s="305"/>
      <c r="G5" s="305"/>
      <c r="H5" s="305"/>
      <c r="I5" s="305"/>
      <c r="J5" s="305"/>
      <c r="K5" s="305"/>
      <c r="L5" s="305"/>
      <c r="M5" s="305"/>
      <c r="N5" s="305"/>
      <c r="O5" s="305"/>
    </row>
    <row r="6" spans="1:15" ht="15.75" customHeight="1">
      <c r="A6" s="306" t="s">
        <v>4</v>
      </c>
      <c r="B6" s="306"/>
      <c r="C6" s="306"/>
      <c r="D6" s="306"/>
      <c r="E6" s="306"/>
      <c r="F6" s="306"/>
      <c r="G6" s="306"/>
      <c r="H6" s="306"/>
      <c r="I6" s="306"/>
      <c r="J6" s="306"/>
      <c r="K6" s="306"/>
      <c r="L6" s="306"/>
      <c r="M6" s="306"/>
      <c r="N6" s="306"/>
      <c r="O6" s="306"/>
    </row>
    <row r="7" spans="1:15" ht="15.75">
      <c r="A7" s="306" t="s">
        <v>5</v>
      </c>
      <c r="B7" s="306"/>
      <c r="C7" s="306"/>
      <c r="D7" s="306"/>
      <c r="E7" s="306"/>
      <c r="F7" s="306"/>
      <c r="G7" s="306"/>
      <c r="H7" s="306"/>
      <c r="I7" s="306"/>
      <c r="J7" s="306"/>
      <c r="K7" s="306"/>
      <c r="L7" s="306"/>
      <c r="M7" s="306"/>
      <c r="N7" s="306"/>
      <c r="O7" s="306"/>
    </row>
    <row r="8" spans="1:15" ht="15">
      <c r="A8" s="1"/>
      <c r="B8" s="1"/>
      <c r="C8" s="1"/>
      <c r="D8" s="1"/>
      <c r="E8" s="1"/>
      <c r="F8" s="1"/>
      <c r="G8" s="122"/>
      <c r="H8" s="1"/>
      <c r="I8" s="1"/>
      <c r="J8" s="1"/>
      <c r="K8" s="1"/>
      <c r="L8" s="1"/>
      <c r="M8" s="1"/>
      <c r="N8" s="1"/>
      <c r="O8" s="1"/>
    </row>
    <row r="9" spans="1:15" ht="15.75">
      <c r="A9" s="333" t="s">
        <v>165</v>
      </c>
      <c r="B9" s="333"/>
      <c r="C9" s="333"/>
      <c r="D9" s="333"/>
      <c r="E9" s="333"/>
      <c r="F9" s="333"/>
      <c r="G9" s="333"/>
      <c r="H9" s="333"/>
      <c r="I9" s="333"/>
      <c r="J9" s="333"/>
      <c r="K9" s="333"/>
      <c r="L9" s="333"/>
      <c r="M9" s="333"/>
      <c r="N9" s="333"/>
      <c r="O9" s="333"/>
    </row>
    <row r="10" spans="1:15" ht="20.25" customHeight="1">
      <c r="A10" s="308"/>
      <c r="B10" s="309"/>
      <c r="C10" s="309"/>
      <c r="D10" s="309"/>
      <c r="E10" s="309"/>
      <c r="F10" s="309"/>
      <c r="G10" s="309"/>
      <c r="H10" s="310"/>
      <c r="I10" s="311" t="s">
        <v>167</v>
      </c>
      <c r="J10" s="312"/>
      <c r="K10" s="312"/>
      <c r="L10" s="311" t="s">
        <v>168</v>
      </c>
      <c r="M10" s="313"/>
      <c r="N10" s="170"/>
      <c r="O10" s="172"/>
    </row>
    <row r="11" spans="1:15" ht="77.25" customHeight="1">
      <c r="A11" s="131" t="s">
        <v>33</v>
      </c>
      <c r="B11" s="59" t="s">
        <v>39</v>
      </c>
      <c r="C11" s="60" t="s">
        <v>41</v>
      </c>
      <c r="D11" s="40" t="s">
        <v>37</v>
      </c>
      <c r="E11" s="40" t="s">
        <v>36</v>
      </c>
      <c r="F11" s="40" t="s">
        <v>35</v>
      </c>
      <c r="G11" s="128" t="s">
        <v>149</v>
      </c>
      <c r="H11" s="61" t="s">
        <v>38</v>
      </c>
      <c r="I11" s="38" t="s">
        <v>17</v>
      </c>
      <c r="J11" s="38" t="s">
        <v>16</v>
      </c>
      <c r="K11" s="38" t="s">
        <v>19</v>
      </c>
      <c r="L11" s="15" t="s">
        <v>9</v>
      </c>
      <c r="M11" s="19" t="s">
        <v>32</v>
      </c>
      <c r="N11" s="148" t="s">
        <v>40</v>
      </c>
      <c r="O11" s="20" t="s">
        <v>0</v>
      </c>
    </row>
    <row r="12" spans="1:15" ht="18" customHeight="1">
      <c r="A12" s="173">
        <v>2</v>
      </c>
      <c r="B12" s="118">
        <f>_xlfn.IFERROR(VLOOKUP('КаякМ-Китай'!$A12,#REF!,2,0),0)</f>
        <v>0</v>
      </c>
      <c r="C12" s="109">
        <f>_xlfn.IFERROR(VLOOKUP('КаякМ-Китай'!$A12,#REF!,3,0),0)</f>
        <v>0</v>
      </c>
      <c r="D12" s="37">
        <v>0</v>
      </c>
      <c r="E12" s="37">
        <v>0</v>
      </c>
      <c r="F12" s="108"/>
      <c r="G12" s="129">
        <f>'КаякМ-Китай'!$E12-'КаякМ-Китай'!$D12</f>
        <v>0</v>
      </c>
      <c r="H12" s="110">
        <f>IF(TYPE(H11)=1,IF(H11=1,2,1),1)</f>
        <v>1</v>
      </c>
      <c r="I12" s="39">
        <v>0</v>
      </c>
      <c r="J12" s="39">
        <v>0</v>
      </c>
      <c r="K12" s="39">
        <v>0</v>
      </c>
      <c r="L12" s="16">
        <f>SUM('КаякМ-Китай'!$I12:$K12)</f>
        <v>0</v>
      </c>
      <c r="M12" s="106" t="e">
        <f>'КаякМ-Китай'!$L12*ЦенаБалла</f>
        <v>#REF!</v>
      </c>
      <c r="N12" s="117" t="e">
        <f>'КаякМ-Китай'!$G12+'КаякМ-Китай'!$M12</f>
        <v>#REF!</v>
      </c>
      <c r="O12" s="117" t="e">
        <f>IF((COUNTIF('КаякМ-Китай'!$N$12:$N$22,'КаякМ-Китай'!$N12)-1)=0,RANK('КаякМ-Китай'!$N12,'КаякМ-Китай'!$N$12:$N$22,1),RANK('КаякМ-Китай'!$N12,'КаякМ-Китай'!$N$12:$N$22,1)&amp;"-"&amp;RANK('КаякМ-Китай'!$N12,'КаякМ-Китай'!$N$12:$N$22,1)+COUNTIF('КаякМ-Китай'!$N$12:$N$22,'КаякМ-Китай'!$N12)-1)</f>
        <v>#REF!</v>
      </c>
    </row>
    <row r="13" spans="1:15" ht="15.75">
      <c r="A13" s="173">
        <v>8</v>
      </c>
      <c r="B13" s="8">
        <f>_xlfn.IFERROR(VLOOKUP('КаякМ-Китай'!$A13,#REF!,2,0),0)</f>
        <v>0</v>
      </c>
      <c r="C13" s="71">
        <f>_xlfn.IFERROR(VLOOKUP('КаякМ-Китай'!$A13,#REF!,3,0),0)</f>
        <v>0</v>
      </c>
      <c r="D13" s="37">
        <v>0</v>
      </c>
      <c r="E13" s="37">
        <v>0</v>
      </c>
      <c r="F13" s="37"/>
      <c r="G13" s="73">
        <f>'КаякМ-Китай'!$E13-'КаякМ-Китай'!$D13</f>
        <v>0</v>
      </c>
      <c r="H13" s="16">
        <f>IF(TYPE(H12)=1,IF(H12=1,2,1),1)</f>
        <v>2</v>
      </c>
      <c r="I13" s="39">
        <v>0</v>
      </c>
      <c r="J13" s="39">
        <v>0</v>
      </c>
      <c r="K13" s="39">
        <v>0</v>
      </c>
      <c r="L13" s="16">
        <f>SUM('КаякМ-Китай'!$I13:$K13)</f>
        <v>0</v>
      </c>
      <c r="M13" s="7" t="e">
        <f>'КаякМ-Китай'!$L13*ЦенаБалла</f>
        <v>#REF!</v>
      </c>
      <c r="N13" s="117" t="e">
        <f>'КаякМ-Китай'!$G13+'КаякМ-Китай'!$M13</f>
        <v>#REF!</v>
      </c>
      <c r="O13" s="6" t="e">
        <f>IF((COUNTIF('КаякМ-Китай'!$N$12:$N$22,'КаякМ-Китай'!$N13)-1)=0,RANK('КаякМ-Китай'!$N13,'КаякМ-Китай'!$N$12:$N$22,1),RANK('КаякМ-Китай'!$N13,'КаякМ-Китай'!$N$12:$N$22,1)&amp;"-"&amp;RANK('КаякМ-Китай'!$N13,'КаякМ-Китай'!$N$12:$N$22,1)+COUNTIF('КаякМ-Китай'!$N$12:$N$22,'КаякМ-Китай'!$N13)-1)</f>
        <v>#REF!</v>
      </c>
    </row>
    <row r="14" spans="1:15" ht="15.75">
      <c r="A14" s="173">
        <v>9</v>
      </c>
      <c r="B14" s="118">
        <f>_xlfn.IFERROR(VLOOKUP('КаякМ-Китай'!$A14,#REF!,2,0),0)</f>
        <v>0</v>
      </c>
      <c r="C14" s="109">
        <f>_xlfn.IFERROR(VLOOKUP('КаякМ-Китай'!$A14,#REF!,3,0),0)</f>
        <v>0</v>
      </c>
      <c r="D14" s="37">
        <v>0</v>
      </c>
      <c r="E14" s="37">
        <v>0</v>
      </c>
      <c r="F14" s="108"/>
      <c r="G14" s="129">
        <f>'КаякМ-Китай'!$E14-'КаякМ-Китай'!$D14</f>
        <v>0</v>
      </c>
      <c r="H14" s="110">
        <f>IF(TYPE(H13)=1,IF(H13=1,2,1),1)</f>
        <v>1</v>
      </c>
      <c r="I14" s="39">
        <v>0</v>
      </c>
      <c r="J14" s="39">
        <v>0</v>
      </c>
      <c r="K14" s="39">
        <v>0</v>
      </c>
      <c r="L14" s="16">
        <f>SUM('КаякМ-Китай'!$I14:$K14)</f>
        <v>0</v>
      </c>
      <c r="M14" s="106" t="e">
        <f>'КаякМ-Китай'!$L14*ЦенаБалла</f>
        <v>#REF!</v>
      </c>
      <c r="N14" s="117" t="e">
        <f>'КаякМ-Китай'!$G14+'КаякМ-Китай'!$M14</f>
        <v>#REF!</v>
      </c>
      <c r="O14" s="117" t="e">
        <f>IF((COUNTIF('КаякМ-Китай'!$N$12:$N$22,'КаякМ-Китай'!$N14)-1)=0,RANK('КаякМ-Китай'!$N14,'КаякМ-Китай'!$N$12:$N$22,1),RANK('КаякМ-Китай'!$N14,'КаякМ-Китай'!$N$12:$N$22,1)&amp;"-"&amp;RANK('КаякМ-Китай'!$N14,'КаякМ-Китай'!$N$12:$N$22,1)+COUNTIF('КаякМ-Китай'!$N$12:$N$22,'КаякМ-Китай'!$N14)-1)</f>
        <v>#REF!</v>
      </c>
    </row>
    <row r="15" spans="1:15" ht="15.75">
      <c r="A15" s="173">
        <v>12</v>
      </c>
      <c r="B15" s="118">
        <f>_xlfn.IFERROR(VLOOKUP('КаякМ-Китай'!$A15,#REF!,2,0),0)</f>
        <v>0</v>
      </c>
      <c r="C15" s="109">
        <f>_xlfn.IFERROR(VLOOKUP('КаякМ-Китай'!$A15,#REF!,3,0),0)</f>
        <v>0</v>
      </c>
      <c r="D15" s="37">
        <v>0</v>
      </c>
      <c r="E15" s="37">
        <v>0</v>
      </c>
      <c r="F15" s="108"/>
      <c r="G15" s="129">
        <f>'КаякМ-Китай'!$E15-'КаякМ-Китай'!$D15</f>
        <v>0</v>
      </c>
      <c r="H15" s="110">
        <f>IF(TYPE(H14)=1,IF(H14=1,2,1),1)</f>
        <v>2</v>
      </c>
      <c r="I15" s="39">
        <v>0</v>
      </c>
      <c r="J15" s="39">
        <v>0</v>
      </c>
      <c r="K15" s="39">
        <v>0</v>
      </c>
      <c r="L15" s="16">
        <f>SUM('КаякМ-Китай'!$I15:$K15)</f>
        <v>0</v>
      </c>
      <c r="M15" s="106" t="e">
        <f>'КаякМ-Китай'!$L15*ЦенаБалла</f>
        <v>#REF!</v>
      </c>
      <c r="N15" s="117" t="e">
        <f>'КаякМ-Китай'!$G15+'КаякМ-Китай'!$M15</f>
        <v>#REF!</v>
      </c>
      <c r="O15" s="117" t="e">
        <f>IF((COUNTIF('КаякМ-Китай'!$N$12:$N$22,'КаякМ-Китай'!$N15)-1)=0,RANK('КаякМ-Китай'!$N15,'КаякМ-Китай'!$N$12:$N$22,1),RANK('КаякМ-Китай'!$N15,'КаякМ-Китай'!$N$12:$N$22,1)&amp;"-"&amp;RANK('КаякМ-Китай'!$N15,'КаякМ-Китай'!$N$12:$N$22,1)+COUNTIF('КаякМ-Китай'!$N$12:$N$22,'КаякМ-Китай'!$N15)-1)</f>
        <v>#REF!</v>
      </c>
    </row>
    <row r="16" spans="1:15" ht="15.75">
      <c r="A16" s="173">
        <v>14</v>
      </c>
      <c r="B16" s="8">
        <f>_xlfn.IFERROR(VLOOKUP('КаякМ-Китай'!$A16,#REF!,2,0),0)</f>
        <v>0</v>
      </c>
      <c r="C16" s="71">
        <f>_xlfn.IFERROR(VLOOKUP('КаякМ-Китай'!$A16,#REF!,3,0),0)</f>
        <v>0</v>
      </c>
      <c r="D16" s="37">
        <v>0</v>
      </c>
      <c r="E16" s="37">
        <v>0</v>
      </c>
      <c r="F16" s="37">
        <v>0.003472222222222222</v>
      </c>
      <c r="G16" s="73">
        <f>'КаякМ-Китай'!$E16-'КаякМ-Китай'!$D16</f>
        <v>0</v>
      </c>
      <c r="H16" s="16">
        <f>IF(TYPE(H15)=1,IF(H15=1,2,1),1)</f>
        <v>1</v>
      </c>
      <c r="I16" s="39">
        <v>0</v>
      </c>
      <c r="J16" s="39">
        <v>0</v>
      </c>
      <c r="K16" s="39">
        <v>0</v>
      </c>
      <c r="L16" s="16">
        <f>SUM('КаякМ-Китай'!$I16:$K16)</f>
        <v>0</v>
      </c>
      <c r="M16" s="7" t="e">
        <f>'КаякМ-Китай'!$L16*ЦенаБалла</f>
        <v>#REF!</v>
      </c>
      <c r="N16" s="117" t="e">
        <f>'КаякМ-Китай'!$G16+'КаякМ-Китай'!$M16</f>
        <v>#REF!</v>
      </c>
      <c r="O16" s="6" t="e">
        <f>IF((COUNTIF('КаякМ-Китай'!$N$12:$N$22,'КаякМ-Китай'!$N16)-1)=0,RANK('КаякМ-Китай'!$N16,'КаякМ-Китай'!$N$12:$N$22,1),RANK('КаякМ-Китай'!$N16,'КаякМ-Китай'!$N$12:$N$22,1)&amp;"-"&amp;RANK('КаякМ-Китай'!$N16,'КаякМ-Китай'!$N$12:$N$22,1)+COUNTIF('КаякМ-Китай'!$N$12:$N$22,'КаякМ-Китай'!$N16)-1)</f>
        <v>#REF!</v>
      </c>
    </row>
    <row r="17" spans="1:15" ht="15.75">
      <c r="A17" s="173">
        <v>15</v>
      </c>
      <c r="B17" s="8">
        <f>_xlfn.IFERROR(VLOOKUP('КаякМ-Китай'!$A17,#REF!,2,0),0)</f>
        <v>0</v>
      </c>
      <c r="C17" s="71">
        <f>_xlfn.IFERROR(VLOOKUP('КаякМ-Китай'!$A17,#REF!,3,0),0)</f>
        <v>0</v>
      </c>
      <c r="D17" s="37">
        <v>0</v>
      </c>
      <c r="E17" s="37">
        <v>0</v>
      </c>
      <c r="F17" s="37">
        <v>0.006944444444444444</v>
      </c>
      <c r="G17" s="73">
        <f>'КаякМ-Китай'!$E17-'КаякМ-Китай'!$D17</f>
        <v>0</v>
      </c>
      <c r="H17" s="16">
        <f>IF(TYPE(#REF!)=1,IF(#REF!=1,2,1),1)</f>
        <v>1</v>
      </c>
      <c r="I17" s="39">
        <v>0</v>
      </c>
      <c r="J17" s="39">
        <v>0</v>
      </c>
      <c r="K17" s="39">
        <v>0</v>
      </c>
      <c r="L17" s="16">
        <f>SUM('КаякМ-Китай'!$I17:$K17)</f>
        <v>0</v>
      </c>
      <c r="M17" s="7" t="e">
        <f>'КаякМ-Китай'!$L17*ЦенаБалла</f>
        <v>#REF!</v>
      </c>
      <c r="N17" s="117" t="e">
        <f>'КаякМ-Китай'!$G17+'КаякМ-Китай'!$M17</f>
        <v>#REF!</v>
      </c>
      <c r="O17" s="6" t="e">
        <f>IF((COUNTIF('КаякМ-Китай'!$N$12:$N$22,'КаякМ-Китай'!$N17)-1)=0,RANK('КаякМ-Китай'!$N17,'КаякМ-Китай'!$N$12:$N$22,1),RANK('КаякМ-Китай'!$N17,'КаякМ-Китай'!$N$12:$N$22,1)&amp;"-"&amp;RANK('КаякМ-Китай'!$N17,'КаякМ-Китай'!$N$12:$N$22,1)+COUNTIF('КаякМ-Китай'!$N$12:$N$22,'КаякМ-Китай'!$N17)-1)</f>
        <v>#REF!</v>
      </c>
    </row>
    <row r="18" spans="1:15" ht="15.75">
      <c r="A18" s="173">
        <v>16</v>
      </c>
      <c r="B18" s="118">
        <f>_xlfn.IFERROR(VLOOKUP('КаякМ-Китай'!$A18,#REF!,2,0),0)</f>
        <v>0</v>
      </c>
      <c r="C18" s="109">
        <f>_xlfn.IFERROR(VLOOKUP('КаякМ-Китай'!$A18,#REF!,3,0),0)</f>
        <v>0</v>
      </c>
      <c r="D18" s="37">
        <v>0</v>
      </c>
      <c r="E18" s="37">
        <v>0</v>
      </c>
      <c r="F18" s="108"/>
      <c r="G18" s="129">
        <f>'КаякМ-Китай'!$E18-'КаякМ-Китай'!$D18</f>
        <v>0</v>
      </c>
      <c r="H18" s="110">
        <f>IF(TYPE(H17)=1,IF(H17=1,2,1),1)</f>
        <v>2</v>
      </c>
      <c r="I18" s="39">
        <v>0</v>
      </c>
      <c r="J18" s="39">
        <v>0</v>
      </c>
      <c r="K18" s="39">
        <v>0</v>
      </c>
      <c r="L18" s="16">
        <f>SUM('КаякМ-Китай'!$I18:$K18)</f>
        <v>0</v>
      </c>
      <c r="M18" s="106" t="e">
        <f>'КаякМ-Китай'!$L18*ЦенаБалла</f>
        <v>#REF!</v>
      </c>
      <c r="N18" s="117" t="e">
        <f>'КаякМ-Китай'!$G18+'КаякМ-Китай'!$M18</f>
        <v>#REF!</v>
      </c>
      <c r="O18" s="117" t="e">
        <f>IF((COUNTIF('КаякМ-Китай'!$N$12:$N$22,'КаякМ-Китай'!$N18)-1)=0,RANK('КаякМ-Китай'!$N18,'КаякМ-Китай'!$N$12:$N$22,1),RANK('КаякМ-Китай'!$N18,'КаякМ-Китай'!$N$12:$N$22,1)&amp;"-"&amp;RANK('КаякМ-Китай'!$N18,'КаякМ-Китай'!$N$12:$N$22,1)+COUNTIF('КаякМ-Китай'!$N$12:$N$22,'КаякМ-Китай'!$N18)-1)</f>
        <v>#REF!</v>
      </c>
    </row>
    <row r="19" spans="1:15" ht="15.75">
      <c r="A19" s="173">
        <v>18</v>
      </c>
      <c r="B19" s="118">
        <f>_xlfn.IFERROR(VLOOKUP('КаякМ-Китай'!$A19,#REF!,2,0),0)</f>
        <v>0</v>
      </c>
      <c r="C19" s="109">
        <f>_xlfn.IFERROR(VLOOKUP('КаякМ-Китай'!$A19,#REF!,3,0),0)</f>
        <v>0</v>
      </c>
      <c r="D19" s="37">
        <v>0</v>
      </c>
      <c r="E19" s="37">
        <v>0</v>
      </c>
      <c r="F19" s="108"/>
      <c r="G19" s="129">
        <f>'КаякМ-Китай'!$E19-'КаякМ-Китай'!$D19</f>
        <v>0</v>
      </c>
      <c r="H19" s="110">
        <f>IF(TYPE(H18)=1,IF(H18=1,2,1),1)</f>
        <v>1</v>
      </c>
      <c r="I19" s="39">
        <v>0</v>
      </c>
      <c r="J19" s="39">
        <v>0</v>
      </c>
      <c r="K19" s="39">
        <v>0</v>
      </c>
      <c r="L19" s="16">
        <f>SUM('КаякМ-Китай'!$I19:$K19)</f>
        <v>0</v>
      </c>
      <c r="M19" s="106" t="e">
        <f>'КаякМ-Китай'!$L19*ЦенаБалла</f>
        <v>#REF!</v>
      </c>
      <c r="N19" s="117" t="e">
        <f>'КаякМ-Китай'!$G19+'КаякМ-Китай'!$M19</f>
        <v>#REF!</v>
      </c>
      <c r="O19" s="117" t="e">
        <f>IF((COUNTIF('КаякМ-Китай'!$N$12:$N$22,'КаякМ-Китай'!$N19)-1)=0,RANK('КаякМ-Китай'!$N19,'КаякМ-Китай'!$N$12:$N$22,1),RANK('КаякМ-Китай'!$N19,'КаякМ-Китай'!$N$12:$N$22,1)&amp;"-"&amp;RANK('КаякМ-Китай'!$N19,'КаякМ-Китай'!$N$12:$N$22,1)+COUNTIF('КаякМ-Китай'!$N$12:$N$22,'КаякМ-Китай'!$N19)-1)</f>
        <v>#REF!</v>
      </c>
    </row>
    <row r="20" spans="1:15" s="14" customFormat="1" ht="15" customHeight="1">
      <c r="A20" s="173">
        <v>20</v>
      </c>
      <c r="B20" s="119">
        <f>_xlfn.IFERROR(VLOOKUP('КаякМ-Китай'!$A20,#REF!,2,0),0)</f>
        <v>0</v>
      </c>
      <c r="C20" s="104">
        <f>_xlfn.IFERROR(VLOOKUP('КаякМ-Китай'!$A20,#REF!,3,0),0)</f>
        <v>0</v>
      </c>
      <c r="D20" s="37">
        <v>0</v>
      </c>
      <c r="E20" s="37">
        <v>0</v>
      </c>
      <c r="F20" s="103"/>
      <c r="G20" s="129">
        <f>'КаякМ-Китай'!$E20-'КаякМ-Китай'!$D20</f>
        <v>0</v>
      </c>
      <c r="H20" s="105">
        <f>IF(TYPE(H19)=1,IF(H19=1,2,1),1)</f>
        <v>2</v>
      </c>
      <c r="I20" s="39">
        <v>0</v>
      </c>
      <c r="J20" s="39">
        <v>0</v>
      </c>
      <c r="K20" s="39">
        <v>0</v>
      </c>
      <c r="L20" s="16">
        <f>SUM('КаякМ-Китай'!$I20:$K20)</f>
        <v>0</v>
      </c>
      <c r="M20" s="102" t="e">
        <f>'КаякМ-Китай'!$L20*ЦенаБалла</f>
        <v>#REF!</v>
      </c>
      <c r="N20" s="117" t="e">
        <f>'КаякМ-Китай'!$G20+'КаякМ-Китай'!$M20</f>
        <v>#REF!</v>
      </c>
      <c r="O20" s="117" t="e">
        <f>IF((COUNTIF('КаякМ-Китай'!$N$12:$N$22,'КаякМ-Китай'!$N20)-1)=0,RANK('КаякМ-Китай'!$N20,'КаякМ-Китай'!$N$12:$N$22,1),RANK('КаякМ-Китай'!$N20,'КаякМ-Китай'!$N$12:$N$22,1)&amp;"-"&amp;RANK('КаякМ-Китай'!$N20,'КаякМ-Китай'!$N$12:$N$22,1)+COUNTIF('КаякМ-Китай'!$N$12:$N$22,'КаякМ-Китай'!$N20)-1)</f>
        <v>#REF!</v>
      </c>
    </row>
    <row r="21" spans="1:15" s="14" customFormat="1" ht="15" customHeight="1">
      <c r="A21" s="173">
        <v>24</v>
      </c>
      <c r="B21" s="118">
        <f>_xlfn.IFERROR(VLOOKUP('КаякМ-Китай'!$A21,#REF!,2,0),0)</f>
        <v>0</v>
      </c>
      <c r="C21" s="109">
        <f>_xlfn.IFERROR(VLOOKUP('КаякМ-Китай'!$A21,#REF!,3,0),0)</f>
        <v>0</v>
      </c>
      <c r="D21" s="37">
        <v>0</v>
      </c>
      <c r="E21" s="37">
        <v>0</v>
      </c>
      <c r="F21" s="108"/>
      <c r="G21" s="129">
        <f>'КаякМ-Китай'!$E21-'КаякМ-Китай'!$D21</f>
        <v>0</v>
      </c>
      <c r="H21" s="110">
        <f>IF(TYPE(H20)=1,IF(H20=1,2,1),1)</f>
        <v>1</v>
      </c>
      <c r="I21" s="39">
        <v>0</v>
      </c>
      <c r="J21" s="39">
        <v>0</v>
      </c>
      <c r="K21" s="39">
        <v>0</v>
      </c>
      <c r="L21" s="16">
        <f>SUM('КаякМ-Китай'!$I21:$K21)</f>
        <v>0</v>
      </c>
      <c r="M21" s="106" t="e">
        <f>'КаякМ-Китай'!$L21*ЦенаБалла</f>
        <v>#REF!</v>
      </c>
      <c r="N21" s="117" t="e">
        <f>'КаякМ-Китай'!$G21+'КаякМ-Китай'!$M21</f>
        <v>#REF!</v>
      </c>
      <c r="O21" s="117" t="e">
        <f>IF((COUNTIF('КаякМ-Китай'!$N$12:$N$22,'КаякМ-Китай'!$N21)-1)=0,RANK('КаякМ-Китай'!$N21,'КаякМ-Китай'!$N$12:$N$22,1),RANK('КаякМ-Китай'!$N21,'КаякМ-Китай'!$N$12:$N$22,1)&amp;"-"&amp;RANK('КаякМ-Китай'!$N21,'КаякМ-Китай'!$N$12:$N$22,1)+COUNTIF('КаякМ-Китай'!$N$12:$N$22,'КаякМ-Китай'!$N21)-1)</f>
        <v>#REF!</v>
      </c>
    </row>
    <row r="22" spans="1:15" s="14" customFormat="1" ht="15" customHeight="1">
      <c r="A22" s="173">
        <v>30</v>
      </c>
      <c r="B22" s="8">
        <f>_xlfn.IFERROR(VLOOKUP('КаякМ-Китай'!$A22,#REF!,2,0),0)</f>
        <v>0</v>
      </c>
      <c r="C22" s="71">
        <f>_xlfn.IFERROR(VLOOKUP('КаякМ-Китай'!$A22,#REF!,3,0),0)</f>
        <v>0</v>
      </c>
      <c r="D22" s="37">
        <v>0</v>
      </c>
      <c r="E22" s="37">
        <v>0</v>
      </c>
      <c r="F22" s="37"/>
      <c r="G22" s="73">
        <f>'КаякМ-Китай'!$E22-'КаякМ-Китай'!$D22</f>
        <v>0</v>
      </c>
      <c r="H22" s="16">
        <f>IF(TYPE(H21)=1,IF(H21=1,2,1),1)</f>
        <v>2</v>
      </c>
      <c r="I22" s="39">
        <v>0</v>
      </c>
      <c r="J22" s="39">
        <v>0</v>
      </c>
      <c r="K22" s="39">
        <v>0</v>
      </c>
      <c r="L22" s="16">
        <f>SUM('КаякМ-Китай'!$I22:$K22)</f>
        <v>0</v>
      </c>
      <c r="M22" s="7" t="e">
        <f>'КаякМ-Китай'!$L22*ЦенаБалла</f>
        <v>#REF!</v>
      </c>
      <c r="N22" s="117" t="e">
        <f>'КаякМ-Китай'!$G22+'КаякМ-Китай'!$M22</f>
        <v>#REF!</v>
      </c>
      <c r="O22" s="117" t="e">
        <f>IF((COUNTIF('КаякМ-Китай'!$N$12:$N$22,'КаякМ-Китай'!$N22)-1)=0,RANK('КаякМ-Китай'!$N22,'КаякМ-Китай'!$N$12:$N$22,1),RANK('КаякМ-Китай'!$N22,'КаякМ-Китай'!$N$12:$N$22,1)&amp;"-"&amp;RANK('КаякМ-Китай'!$N22,'КаякМ-Китай'!$N$12:$N$22,1)+COUNTIF('КаякМ-Китай'!$N$12:$N$22,'КаякМ-Китай'!$N22)-1)</f>
        <v>#REF!</v>
      </c>
    </row>
    <row r="23" spans="12:14" ht="15">
      <c r="L23" s="14"/>
      <c r="M23" s="14"/>
      <c r="N23" s="14"/>
    </row>
    <row r="24" spans="1:14" ht="15.75">
      <c r="A24" s="326" t="s">
        <v>7</v>
      </c>
      <c r="B24" s="326"/>
      <c r="C24" s="326"/>
      <c r="D24" s="304"/>
      <c r="E24" s="304"/>
      <c r="G24" s="123"/>
      <c r="H24" s="10"/>
      <c r="I24" s="14"/>
      <c r="J24" s="54" t="s">
        <v>31</v>
      </c>
      <c r="K24" s="14"/>
      <c r="L24" s="14"/>
      <c r="M24" s="14"/>
      <c r="N24" s="14"/>
    </row>
    <row r="25" spans="1:15" ht="15.75">
      <c r="A25" s="326" t="s">
        <v>6</v>
      </c>
      <c r="B25" s="326"/>
      <c r="C25" s="326"/>
      <c r="D25" s="171"/>
      <c r="E25" s="171"/>
      <c r="F25" s="11"/>
      <c r="G25" s="124"/>
      <c r="H25" s="11"/>
      <c r="I25" s="14"/>
      <c r="J25" s="12" t="s">
        <v>163</v>
      </c>
      <c r="K25" s="12"/>
      <c r="L25" s="14"/>
      <c r="M25" s="14"/>
      <c r="N25" s="14"/>
      <c r="O25" s="14"/>
    </row>
    <row r="26" spans="1:15" ht="15">
      <c r="A26" s="303" t="e">
        <f>дата_протокол</f>
        <v>#REF!</v>
      </c>
      <c r="B26" s="303"/>
      <c r="C26" s="303"/>
      <c r="D26" s="171"/>
      <c r="E26" s="171"/>
      <c r="I26" s="14"/>
      <c r="J26" s="14"/>
      <c r="K26" s="14"/>
      <c r="L26" s="14"/>
      <c r="M26" s="14"/>
      <c r="N26" s="14"/>
      <c r="O26" s="14"/>
    </row>
    <row r="27" spans="1:15" ht="15">
      <c r="A27" s="14"/>
      <c r="B27" s="14"/>
      <c r="C27" s="14"/>
      <c r="D27" s="14"/>
      <c r="E27" s="14"/>
      <c r="F27" s="14"/>
      <c r="I27" s="14"/>
      <c r="J27" s="14"/>
      <c r="K27" s="14"/>
      <c r="L27" s="14"/>
      <c r="M27" s="14"/>
      <c r="N27" s="14"/>
      <c r="O27" s="14"/>
    </row>
    <row r="28" spans="1:15" ht="15">
      <c r="A28" s="14"/>
      <c r="B28" s="14"/>
      <c r="I28" s="14"/>
      <c r="J28" s="14"/>
      <c r="K28" s="14"/>
      <c r="L28" s="14"/>
      <c r="M28" s="14"/>
      <c r="N28" s="14"/>
      <c r="O28" s="14"/>
    </row>
    <row r="29" spans="1:15" ht="15">
      <c r="A29" s="171"/>
      <c r="B29" s="171"/>
      <c r="G29" s="127"/>
      <c r="H29" s="171"/>
      <c r="I29" s="171"/>
      <c r="J29" s="171"/>
      <c r="K29" s="171"/>
      <c r="L29" s="171"/>
      <c r="M29" s="171"/>
      <c r="N29" s="171"/>
      <c r="O29" s="171"/>
    </row>
    <row r="30" spans="5:16" ht="15">
      <c r="E30" s="14"/>
      <c r="F30" s="14"/>
      <c r="G30" s="126"/>
      <c r="H30" s="14"/>
      <c r="I30" s="14"/>
      <c r="J30" s="14"/>
      <c r="K30" s="14"/>
      <c r="L30" s="14"/>
      <c r="M30" s="14"/>
      <c r="N30" s="14"/>
      <c r="O30" s="14"/>
      <c r="P30" s="14"/>
    </row>
    <row r="31" spans="5:16" ht="15">
      <c r="E31" s="14"/>
      <c r="F31" s="14"/>
      <c r="G31" s="126"/>
      <c r="H31" s="14"/>
      <c r="I31" s="14"/>
      <c r="J31" s="14"/>
      <c r="K31" s="14"/>
      <c r="L31" s="14"/>
      <c r="M31" s="14"/>
      <c r="N31" s="14"/>
      <c r="O31" s="14"/>
      <c r="P31" s="14"/>
    </row>
    <row r="32" spans="5:16" ht="15">
      <c r="E32" s="14"/>
      <c r="F32" s="14"/>
      <c r="G32" s="126"/>
      <c r="H32" s="14"/>
      <c r="I32" s="14"/>
      <c r="J32" s="14"/>
      <c r="K32" s="14"/>
      <c r="L32" s="14"/>
      <c r="M32" s="14"/>
      <c r="N32" s="14"/>
      <c r="O32" s="14"/>
      <c r="P32" s="14"/>
    </row>
    <row r="33" spans="5:16" ht="15">
      <c r="E33" s="14"/>
      <c r="F33" s="14"/>
      <c r="G33" s="126"/>
      <c r="H33" s="14"/>
      <c r="I33" s="14"/>
      <c r="J33" s="14"/>
      <c r="K33" s="14"/>
      <c r="L33" s="14"/>
      <c r="M33" s="14"/>
      <c r="N33" s="14"/>
      <c r="O33" s="14"/>
      <c r="P33" s="14"/>
    </row>
    <row r="34" spans="7:16" ht="15">
      <c r="G34" s="126"/>
      <c r="H34" s="14"/>
      <c r="I34" s="14"/>
      <c r="J34" s="14"/>
      <c r="K34" s="14"/>
      <c r="L34" s="14"/>
      <c r="M34" s="14"/>
      <c r="N34" s="14"/>
      <c r="O34" s="14"/>
      <c r="P34" s="14"/>
    </row>
    <row r="35" spans="7:16" ht="15">
      <c r="G35" s="126"/>
      <c r="H35" s="14"/>
      <c r="I35" s="14"/>
      <c r="J35" s="14"/>
      <c r="K35" s="14"/>
      <c r="L35" s="14"/>
      <c r="M35" s="14"/>
      <c r="N35" s="14"/>
      <c r="O35" s="14"/>
      <c r="P35" s="14"/>
    </row>
  </sheetData>
  <sheetProtection/>
  <mergeCells count="20">
    <mergeCell ref="A1:C2"/>
    <mergeCell ref="D1:O2"/>
    <mergeCell ref="A3:C3"/>
    <mergeCell ref="D3:O3"/>
    <mergeCell ref="A4:C4"/>
    <mergeCell ref="D4:O4"/>
    <mergeCell ref="A5:C5"/>
    <mergeCell ref="D5:O5"/>
    <mergeCell ref="A6:C6"/>
    <mergeCell ref="D6:O6"/>
    <mergeCell ref="A7:C7"/>
    <mergeCell ref="D7:O7"/>
    <mergeCell ref="A25:C25"/>
    <mergeCell ref="A26:C26"/>
    <mergeCell ref="A9:O9"/>
    <mergeCell ref="A10:H10"/>
    <mergeCell ref="I10:K10"/>
    <mergeCell ref="L10:M10"/>
    <mergeCell ref="A24:C24"/>
    <mergeCell ref="D24:E24"/>
  </mergeCells>
  <dataValidations count="3">
    <dataValidation type="whole" operator="greaterThan" allowBlank="1" showErrorMessage="1" errorTitle="Внимание!" error="Данные в этой ячейке должны быть целым числом без любых дополнительных знаков." sqref="B12:B22">
      <formula1>0</formula1>
    </dataValidation>
    <dataValidation type="time" operator="greaterThanOrEqual" allowBlank="1" showInputMessage="1" showErrorMessage="1" sqref="D12:E22">
      <formula1>0</formula1>
    </dataValidation>
    <dataValidation type="list" allowBlank="1" showInputMessage="1" showErrorMessage="1" sqref="D4">
      <formula1>дисциплины</formula1>
    </dataValidation>
  </dataValidations>
  <printOptions/>
  <pageMargins left="0.5905511811023623" right="0.5905511811023623" top="0.5905511811023623" bottom="0.5905511811023623" header="0" footer="0"/>
  <pageSetup fitToHeight="1" fitToWidth="1" horizontalDpi="300" verticalDpi="300" orientation="landscape" paperSize="9" scale="99" r:id="rId3"/>
  <drawing r:id="rId2"/>
  <tableParts>
    <tablePart r:id="rId1"/>
  </tableParts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zoomScalePageLayoutView="0" workbookViewId="0" topLeftCell="A1">
      <selection activeCell="I29" sqref="I29"/>
    </sheetView>
  </sheetViews>
  <sheetFormatPr defaultColWidth="9.140625" defaultRowHeight="15" outlineLevelCol="1"/>
  <cols>
    <col min="1" max="1" width="11.7109375" style="111" customWidth="1" outlineLevel="1"/>
    <col min="2" max="2" width="7.8515625" style="111" customWidth="1"/>
    <col min="3" max="3" width="29.00390625" style="111" customWidth="1"/>
    <col min="4" max="5" width="11.7109375" style="111" customWidth="1"/>
    <col min="6" max="6" width="11.7109375" style="111" hidden="1" customWidth="1"/>
    <col min="7" max="7" width="11.7109375" style="125" customWidth="1"/>
    <col min="8" max="8" width="5.8515625" style="111" hidden="1" customWidth="1"/>
    <col min="9" max="9" width="6.28125" style="111" customWidth="1"/>
    <col min="10" max="11" width="5.28125" style="111" customWidth="1"/>
    <col min="12" max="12" width="8.421875" style="111" customWidth="1"/>
    <col min="13" max="14" width="9.57421875" style="111" customWidth="1"/>
    <col min="15" max="15" width="10.00390625" style="111" customWidth="1"/>
    <col min="16" max="16384" width="9.140625" style="111" customWidth="1"/>
  </cols>
  <sheetData>
    <row r="1" spans="1:15" ht="26.25" customHeight="1">
      <c r="A1" s="288"/>
      <c r="B1" s="288"/>
      <c r="C1" s="288"/>
      <c r="D1" s="334" t="s">
        <v>157</v>
      </c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</row>
    <row r="2" spans="1:15" ht="21.75" customHeight="1">
      <c r="A2" s="288"/>
      <c r="B2" s="288"/>
      <c r="C2" s="288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</row>
    <row r="3" spans="1:15" ht="15.75" customHeight="1">
      <c r="A3" s="335" t="s">
        <v>1</v>
      </c>
      <c r="B3" s="335"/>
      <c r="C3" s="335"/>
      <c r="D3" s="306" t="e">
        <f>РангСоревнований</f>
        <v>#REF!</v>
      </c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</row>
    <row r="4" spans="1:15" ht="15.75" customHeight="1">
      <c r="A4" s="306" t="s">
        <v>2</v>
      </c>
      <c r="B4" s="306"/>
      <c r="C4" s="306"/>
      <c r="D4" s="300" t="s">
        <v>49</v>
      </c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2"/>
    </row>
    <row r="5" spans="1:15" ht="15.75" customHeight="1">
      <c r="A5" s="306" t="s">
        <v>3</v>
      </c>
      <c r="B5" s="306"/>
      <c r="C5" s="306"/>
      <c r="D5" s="305" t="s">
        <v>183</v>
      </c>
      <c r="E5" s="305"/>
      <c r="F5" s="305"/>
      <c r="G5" s="305"/>
      <c r="H5" s="305"/>
      <c r="I5" s="305"/>
      <c r="J5" s="305"/>
      <c r="K5" s="305"/>
      <c r="L5" s="305"/>
      <c r="M5" s="305"/>
      <c r="N5" s="305"/>
      <c r="O5" s="305"/>
    </row>
    <row r="6" spans="1:15" ht="15.75" customHeight="1">
      <c r="A6" s="306" t="s">
        <v>4</v>
      </c>
      <c r="B6" s="306"/>
      <c r="C6" s="306"/>
      <c r="D6" s="306"/>
      <c r="E6" s="306"/>
      <c r="F6" s="306"/>
      <c r="G6" s="306"/>
      <c r="H6" s="306"/>
      <c r="I6" s="306"/>
      <c r="J6" s="306"/>
      <c r="K6" s="306"/>
      <c r="L6" s="306"/>
      <c r="M6" s="306"/>
      <c r="N6" s="306"/>
      <c r="O6" s="306"/>
    </row>
    <row r="7" spans="1:15" ht="15.75">
      <c r="A7" s="306" t="s">
        <v>5</v>
      </c>
      <c r="B7" s="306"/>
      <c r="C7" s="306"/>
      <c r="D7" s="306"/>
      <c r="E7" s="306"/>
      <c r="F7" s="306"/>
      <c r="G7" s="306"/>
      <c r="H7" s="306"/>
      <c r="I7" s="306"/>
      <c r="J7" s="306"/>
      <c r="K7" s="306"/>
      <c r="L7" s="306"/>
      <c r="M7" s="306"/>
      <c r="N7" s="306"/>
      <c r="O7" s="306"/>
    </row>
    <row r="8" spans="1:15" ht="15">
      <c r="A8" s="1"/>
      <c r="B8" s="1"/>
      <c r="C8" s="1"/>
      <c r="D8" s="1"/>
      <c r="E8" s="1"/>
      <c r="F8" s="1"/>
      <c r="G8" s="122"/>
      <c r="H8" s="1"/>
      <c r="I8" s="1"/>
      <c r="J8" s="1"/>
      <c r="K8" s="1"/>
      <c r="L8" s="1"/>
      <c r="M8" s="1"/>
      <c r="N8" s="1"/>
      <c r="O8" s="1"/>
    </row>
    <row r="9" spans="1:15" ht="15.75">
      <c r="A9" s="333" t="s">
        <v>165</v>
      </c>
      <c r="B9" s="333"/>
      <c r="C9" s="333"/>
      <c r="D9" s="333"/>
      <c r="E9" s="333"/>
      <c r="F9" s="333"/>
      <c r="G9" s="333"/>
      <c r="H9" s="333"/>
      <c r="I9" s="333"/>
      <c r="J9" s="333"/>
      <c r="K9" s="333"/>
      <c r="L9" s="333"/>
      <c r="M9" s="333"/>
      <c r="N9" s="333"/>
      <c r="O9" s="333"/>
    </row>
    <row r="10" spans="1:15" ht="20.25" customHeight="1">
      <c r="A10" s="308"/>
      <c r="B10" s="309"/>
      <c r="C10" s="309"/>
      <c r="D10" s="309"/>
      <c r="E10" s="309"/>
      <c r="F10" s="309"/>
      <c r="G10" s="309"/>
      <c r="H10" s="310"/>
      <c r="I10" s="311" t="s">
        <v>167</v>
      </c>
      <c r="J10" s="312"/>
      <c r="K10" s="312"/>
      <c r="L10" s="311" t="s">
        <v>168</v>
      </c>
      <c r="M10" s="313"/>
      <c r="N10" s="134"/>
      <c r="O10" s="121"/>
    </row>
    <row r="11" spans="1:15" ht="77.25" customHeight="1">
      <c r="A11" s="131" t="s">
        <v>33</v>
      </c>
      <c r="B11" s="59" t="s">
        <v>39</v>
      </c>
      <c r="C11" s="60" t="s">
        <v>41</v>
      </c>
      <c r="D11" s="40" t="s">
        <v>37</v>
      </c>
      <c r="E11" s="40" t="s">
        <v>36</v>
      </c>
      <c r="F11" s="40" t="s">
        <v>35</v>
      </c>
      <c r="G11" s="128" t="s">
        <v>149</v>
      </c>
      <c r="H11" s="61" t="s">
        <v>38</v>
      </c>
      <c r="I11" s="38" t="s">
        <v>17</v>
      </c>
      <c r="J11" s="38" t="s">
        <v>16</v>
      </c>
      <c r="K11" s="38" t="s">
        <v>19</v>
      </c>
      <c r="L11" s="15" t="s">
        <v>9</v>
      </c>
      <c r="M11" s="19" t="s">
        <v>32</v>
      </c>
      <c r="N11" s="148" t="s">
        <v>40</v>
      </c>
      <c r="O11" s="20" t="s">
        <v>0</v>
      </c>
    </row>
    <row r="12" spans="1:15" ht="18" customHeight="1">
      <c r="A12" s="118">
        <f>_xlfn.IFERROR(VLOOKUP(#REF!,#REF!,2,0),0)</f>
        <v>0</v>
      </c>
      <c r="B12" s="118">
        <f>_xlfn.IFERROR(VLOOKUP('КаякЖ-Китай'!$A12,#REF!,2,0),0)</f>
        <v>0</v>
      </c>
      <c r="C12" s="109">
        <f>_xlfn.IFERROR(VLOOKUP('КаякЖ-Китай'!$A12,#REF!,3,0),0)</f>
        <v>0</v>
      </c>
      <c r="D12" s="37">
        <v>0</v>
      </c>
      <c r="E12" s="37">
        <v>0</v>
      </c>
      <c r="F12" s="108"/>
      <c r="G12" s="129">
        <f>'КаякЖ-Китай'!$E12-'КаякЖ-Китай'!$D12</f>
        <v>0</v>
      </c>
      <c r="H12" s="110">
        <f>IF(TYPE(H11)=1,IF(H11=1,2,1),1)</f>
        <v>1</v>
      </c>
      <c r="I12" s="39">
        <v>0</v>
      </c>
      <c r="J12" s="39">
        <v>0</v>
      </c>
      <c r="K12" s="39">
        <v>0</v>
      </c>
      <c r="L12" s="16">
        <f>SUM('КаякЖ-Китай'!$I12:$K12)</f>
        <v>0</v>
      </c>
      <c r="M12" s="106" t="e">
        <f>'КаякЖ-Китай'!$L12*ЦенаБалла</f>
        <v>#REF!</v>
      </c>
      <c r="N12" s="117" t="e">
        <f>'КаякЖ-Китай'!$G12+'КаякЖ-Китай'!$M12</f>
        <v>#REF!</v>
      </c>
      <c r="O12" s="117" t="e">
        <f>IF((COUNTIF('КаякЖ-Китай'!$N$12:$N$15,'КаякЖ-Китай'!$N12)-1)=0,RANK('КаякЖ-Китай'!$N12,'КаякЖ-Китай'!$N$12:$N$15,1),RANK('КаякЖ-Китай'!$N12,'КаякЖ-Китай'!$N$12:$N$15,1)&amp;"-"&amp;RANK('КаякЖ-Китай'!$N12,'КаякЖ-Китай'!$N$12:$N$15,1)+COUNTIF('КаякЖ-Китай'!$N$12:$N$15,'КаякЖ-Китай'!$N12)-1)</f>
        <v>#REF!</v>
      </c>
    </row>
    <row r="13" spans="1:15" ht="15.75">
      <c r="A13" s="8">
        <f>_xlfn.IFERROR(VLOOKUP(#REF!,#REF!,2,0),0)</f>
        <v>0</v>
      </c>
      <c r="B13" s="8">
        <f>_xlfn.IFERROR(VLOOKUP('КаякЖ-Китай'!$A13,#REF!,2,0),0)</f>
        <v>0</v>
      </c>
      <c r="C13" s="71">
        <f>_xlfn.IFERROR(VLOOKUP('КаякЖ-Китай'!$A13,#REF!,3,0),0)</f>
        <v>0</v>
      </c>
      <c r="D13" s="37">
        <v>0</v>
      </c>
      <c r="E13" s="37">
        <v>0</v>
      </c>
      <c r="F13" s="37"/>
      <c r="G13" s="73">
        <f>'КаякЖ-Китай'!$E13-'КаякЖ-Китай'!$D13</f>
        <v>0</v>
      </c>
      <c r="H13" s="16">
        <f>IF(TYPE(H12)=1,IF(H12=1,2,1),1)</f>
        <v>2</v>
      </c>
      <c r="I13" s="39">
        <v>0</v>
      </c>
      <c r="J13" s="39">
        <v>0</v>
      </c>
      <c r="K13" s="39">
        <v>0</v>
      </c>
      <c r="L13" s="16">
        <f>SUM('КаякЖ-Китай'!$I13:$K13)</f>
        <v>0</v>
      </c>
      <c r="M13" s="7" t="e">
        <f>'КаякЖ-Китай'!$L13*ЦенаБалла</f>
        <v>#REF!</v>
      </c>
      <c r="N13" s="117" t="e">
        <f>'КаякЖ-Китай'!$G13+'КаякЖ-Китай'!$M13</f>
        <v>#REF!</v>
      </c>
      <c r="O13" s="6" t="e">
        <f>IF((COUNTIF('КаякЖ-Китай'!$N$12:$N$15,'КаякЖ-Китай'!$N13)-1)=0,RANK('КаякЖ-Китай'!$N13,'КаякЖ-Китай'!$N$12:$N$15,1),RANK('КаякЖ-Китай'!$N13,'КаякЖ-Китай'!$N$12:$N$15,1)&amp;"-"&amp;RANK('КаякЖ-Китай'!$N13,'КаякЖ-Китай'!$N$12:$N$15,1)+COUNTIF('КаякЖ-Китай'!$N$12:$N$15,'КаякЖ-Китай'!$N13)-1)</f>
        <v>#REF!</v>
      </c>
    </row>
    <row r="14" spans="1:15" ht="15.75">
      <c r="A14" s="118">
        <f>_xlfn.IFERROR(VLOOKUP(#REF!,#REF!,2,0),0)</f>
        <v>0</v>
      </c>
      <c r="B14" s="118">
        <f>_xlfn.IFERROR(VLOOKUP('КаякЖ-Китай'!$A14,#REF!,2,0),0)</f>
        <v>0</v>
      </c>
      <c r="C14" s="109">
        <f>_xlfn.IFERROR(VLOOKUP('КаякЖ-Китай'!$A14,#REF!,3,0),0)</f>
        <v>0</v>
      </c>
      <c r="D14" s="37">
        <v>0</v>
      </c>
      <c r="E14" s="37">
        <v>0</v>
      </c>
      <c r="F14" s="108"/>
      <c r="G14" s="129">
        <f>'КаякЖ-Китай'!$E14-'КаякЖ-Китай'!$D14</f>
        <v>0</v>
      </c>
      <c r="H14" s="110">
        <f>IF(TYPE(H13)=1,IF(H13=1,2,1),1)</f>
        <v>1</v>
      </c>
      <c r="I14" s="39">
        <v>0</v>
      </c>
      <c r="J14" s="39">
        <v>0</v>
      </c>
      <c r="K14" s="39">
        <v>0</v>
      </c>
      <c r="L14" s="16">
        <f>SUM('КаякЖ-Китай'!$I14:$K14)</f>
        <v>0</v>
      </c>
      <c r="M14" s="106" t="e">
        <f>'КаякЖ-Китай'!$L14*ЦенаБалла</f>
        <v>#REF!</v>
      </c>
      <c r="N14" s="117" t="e">
        <f>'КаякЖ-Китай'!$G14+'КаякЖ-Китай'!$M14</f>
        <v>#REF!</v>
      </c>
      <c r="O14" s="117" t="e">
        <f>IF((COUNTIF('КаякЖ-Китай'!$N$12:$N$15,'КаякЖ-Китай'!$N14)-1)=0,RANK('КаякЖ-Китай'!$N14,'КаякЖ-Китай'!$N$12:$N$15,1),RANK('КаякЖ-Китай'!$N14,'КаякЖ-Китай'!$N$12:$N$15,1)&amp;"-"&amp;RANK('КаякЖ-Китай'!$N14,'КаякЖ-Китай'!$N$12:$N$15,1)+COUNTIF('КаякЖ-Китай'!$N$12:$N$15,'КаякЖ-Китай'!$N14)-1)</f>
        <v>#REF!</v>
      </c>
    </row>
    <row r="15" spans="1:15" ht="15.75">
      <c r="A15" s="118">
        <f>_xlfn.IFERROR(VLOOKUP(#REF!,#REF!,2,0),0)</f>
        <v>0</v>
      </c>
      <c r="B15" s="118">
        <f>_xlfn.IFERROR(VLOOKUP('КаякЖ-Китай'!$A15,#REF!,2,0),0)</f>
        <v>0</v>
      </c>
      <c r="C15" s="109">
        <f>_xlfn.IFERROR(VLOOKUP('КаякЖ-Китай'!$A15,#REF!,3,0),0)</f>
        <v>0</v>
      </c>
      <c r="D15" s="37">
        <v>0</v>
      </c>
      <c r="E15" s="37">
        <v>0</v>
      </c>
      <c r="F15" s="108"/>
      <c r="G15" s="129">
        <f>'КаякЖ-Китай'!$E15-'КаякЖ-Китай'!$D15</f>
        <v>0</v>
      </c>
      <c r="H15" s="110">
        <f>IF(TYPE(H14)=1,IF(H14=1,2,1),1)</f>
        <v>2</v>
      </c>
      <c r="I15" s="39">
        <v>0</v>
      </c>
      <c r="J15" s="39">
        <v>0</v>
      </c>
      <c r="K15" s="39">
        <v>0</v>
      </c>
      <c r="L15" s="16">
        <f>SUM('КаякЖ-Китай'!$I15:$K15)</f>
        <v>0</v>
      </c>
      <c r="M15" s="106" t="e">
        <f>'КаякЖ-Китай'!$L15*ЦенаБалла</f>
        <v>#REF!</v>
      </c>
      <c r="N15" s="117" t="e">
        <f>'КаякЖ-Китай'!$G15+'КаякЖ-Китай'!$M15</f>
        <v>#REF!</v>
      </c>
      <c r="O15" s="117" t="e">
        <f>IF((COUNTIF('КаякЖ-Китай'!$N$12:$N$15,'КаякЖ-Китай'!$N15)-1)=0,RANK('КаякЖ-Китай'!$N15,'КаякЖ-Китай'!$N$12:$N$15,1),RANK('КаякЖ-Китай'!$N15,'КаякЖ-Китай'!$N$12:$N$15,1)&amp;"-"&amp;RANK('КаякЖ-Китай'!$N15,'КаякЖ-Китай'!$N$12:$N$15,1)+COUNTIF('КаякЖ-Китай'!$N$12:$N$15,'КаякЖ-Китай'!$N15)-1)</f>
        <v>#REF!</v>
      </c>
    </row>
    <row r="16" spans="12:14" ht="15">
      <c r="L16" s="14"/>
      <c r="M16" s="14"/>
      <c r="N16" s="14"/>
    </row>
    <row r="17" spans="1:14" ht="15.75">
      <c r="A17" s="326" t="s">
        <v>7</v>
      </c>
      <c r="B17" s="326"/>
      <c r="C17" s="326"/>
      <c r="D17" s="304"/>
      <c r="E17" s="304"/>
      <c r="G17" s="123"/>
      <c r="H17" s="10"/>
      <c r="I17" s="14"/>
      <c r="J17" s="54" t="s">
        <v>31</v>
      </c>
      <c r="K17" s="14"/>
      <c r="L17" s="14"/>
      <c r="M17" s="14"/>
      <c r="N17" s="14"/>
    </row>
    <row r="18" spans="1:15" ht="15.75">
      <c r="A18" s="326" t="s">
        <v>6</v>
      </c>
      <c r="B18" s="326"/>
      <c r="C18" s="326"/>
      <c r="D18" s="120"/>
      <c r="E18" s="120"/>
      <c r="F18" s="11"/>
      <c r="G18" s="124"/>
      <c r="H18" s="11"/>
      <c r="I18" s="14"/>
      <c r="J18" s="12" t="s">
        <v>163</v>
      </c>
      <c r="K18" s="12"/>
      <c r="L18" s="14"/>
      <c r="M18" s="14"/>
      <c r="N18" s="14"/>
      <c r="O18" s="14"/>
    </row>
    <row r="19" spans="1:15" ht="15">
      <c r="A19" s="303" t="e">
        <f>дата_протокол</f>
        <v>#REF!</v>
      </c>
      <c r="B19" s="303"/>
      <c r="C19" s="303"/>
      <c r="D19" s="120"/>
      <c r="E19" s="120"/>
      <c r="I19" s="14"/>
      <c r="J19" s="14"/>
      <c r="K19" s="14"/>
      <c r="L19" s="14"/>
      <c r="M19" s="14"/>
      <c r="N19" s="14"/>
      <c r="O19" s="14"/>
    </row>
    <row r="20" spans="1:15" ht="15">
      <c r="A20" s="14"/>
      <c r="B20" s="14"/>
      <c r="C20" s="14"/>
      <c r="D20" s="14"/>
      <c r="E20" s="14"/>
      <c r="F20" s="14"/>
      <c r="I20" s="14"/>
      <c r="J20" s="14"/>
      <c r="K20" s="14"/>
      <c r="L20" s="14"/>
      <c r="M20" s="14"/>
      <c r="N20" s="14"/>
      <c r="O20" s="14"/>
    </row>
    <row r="21" spans="1:15" ht="15">
      <c r="A21" s="14"/>
      <c r="B21" s="14"/>
      <c r="I21" s="14"/>
      <c r="J21" s="14"/>
      <c r="K21" s="14"/>
      <c r="L21" s="14"/>
      <c r="M21" s="14"/>
      <c r="N21" s="14"/>
      <c r="O21" s="14"/>
    </row>
    <row r="22" spans="1:15" ht="15">
      <c r="A22" s="120"/>
      <c r="B22" s="120"/>
      <c r="G22" s="127"/>
      <c r="H22" s="120"/>
      <c r="I22" s="120"/>
      <c r="J22" s="120"/>
      <c r="K22" s="120"/>
      <c r="L22" s="120"/>
      <c r="M22" s="120"/>
      <c r="N22" s="133"/>
      <c r="O22" s="120"/>
    </row>
    <row r="23" spans="5:16" ht="15">
      <c r="E23" s="14"/>
      <c r="F23" s="14"/>
      <c r="G23" s="126"/>
      <c r="H23" s="14"/>
      <c r="I23" s="14"/>
      <c r="J23" s="14"/>
      <c r="K23" s="14"/>
      <c r="L23" s="14"/>
      <c r="M23" s="14"/>
      <c r="N23" s="14"/>
      <c r="O23" s="14"/>
      <c r="P23" s="14"/>
    </row>
    <row r="24" spans="5:16" ht="15">
      <c r="E24" s="14"/>
      <c r="F24" s="14"/>
      <c r="G24" s="126"/>
      <c r="H24" s="14"/>
      <c r="I24" s="14"/>
      <c r="J24" s="14"/>
      <c r="K24" s="14"/>
      <c r="L24" s="14"/>
      <c r="M24" s="14"/>
      <c r="N24" s="14"/>
      <c r="O24" s="14"/>
      <c r="P24" s="14"/>
    </row>
    <row r="25" spans="5:16" ht="15">
      <c r="E25" s="14"/>
      <c r="F25" s="14"/>
      <c r="G25" s="126"/>
      <c r="H25" s="14"/>
      <c r="I25" s="14"/>
      <c r="J25" s="14"/>
      <c r="K25" s="14"/>
      <c r="L25" s="14"/>
      <c r="M25" s="14"/>
      <c r="N25" s="14"/>
      <c r="O25" s="14"/>
      <c r="P25" s="14"/>
    </row>
    <row r="26" spans="5:16" ht="15">
      <c r="E26" s="14"/>
      <c r="F26" s="14"/>
      <c r="G26" s="126"/>
      <c r="H26" s="14"/>
      <c r="I26" s="14"/>
      <c r="J26" s="14"/>
      <c r="K26" s="14"/>
      <c r="L26" s="14"/>
      <c r="M26" s="14"/>
      <c r="N26" s="14"/>
      <c r="O26" s="14"/>
      <c r="P26" s="14"/>
    </row>
    <row r="27" spans="7:16" ht="15">
      <c r="G27" s="126"/>
      <c r="H27" s="14"/>
      <c r="I27" s="14"/>
      <c r="J27" s="14"/>
      <c r="K27" s="14"/>
      <c r="L27" s="14"/>
      <c r="M27" s="14"/>
      <c r="N27" s="14"/>
      <c r="O27" s="14"/>
      <c r="P27" s="14"/>
    </row>
    <row r="28" spans="7:16" ht="15">
      <c r="G28" s="126"/>
      <c r="H28" s="14"/>
      <c r="I28" s="14"/>
      <c r="J28" s="14"/>
      <c r="K28" s="14"/>
      <c r="L28" s="14"/>
      <c r="M28" s="14"/>
      <c r="N28" s="14"/>
      <c r="O28" s="14"/>
      <c r="P28" s="14"/>
    </row>
  </sheetData>
  <sheetProtection/>
  <mergeCells count="20">
    <mergeCell ref="A1:C2"/>
    <mergeCell ref="D1:O2"/>
    <mergeCell ref="A3:C3"/>
    <mergeCell ref="D3:O3"/>
    <mergeCell ref="A4:C4"/>
    <mergeCell ref="D4:O4"/>
    <mergeCell ref="A5:C5"/>
    <mergeCell ref="D5:O5"/>
    <mergeCell ref="A6:C6"/>
    <mergeCell ref="D6:O6"/>
    <mergeCell ref="A7:C7"/>
    <mergeCell ref="D7:O7"/>
    <mergeCell ref="A18:C18"/>
    <mergeCell ref="A19:C19"/>
    <mergeCell ref="A9:O9"/>
    <mergeCell ref="A10:H10"/>
    <mergeCell ref="I10:K10"/>
    <mergeCell ref="L10:M10"/>
    <mergeCell ref="A17:C17"/>
    <mergeCell ref="D17:E17"/>
  </mergeCells>
  <dataValidations count="3">
    <dataValidation type="list" allowBlank="1" showInputMessage="1" showErrorMessage="1" sqref="D4">
      <formula1>дисциплины</formula1>
    </dataValidation>
    <dataValidation type="time" operator="greaterThanOrEqual" allowBlank="1" showInputMessage="1" showErrorMessage="1" sqref="D12:E15">
      <formula1>0</formula1>
    </dataValidation>
    <dataValidation type="whole" operator="greaterThan" allowBlank="1" showErrorMessage="1" errorTitle="Внимание!" error="Данные в этой ячейке должны быть целым числом без любых дополнительных знаков." sqref="A12:B15">
      <formula1>0</formula1>
    </dataValidation>
  </dataValidations>
  <printOptions/>
  <pageMargins left="0.5905511811023623" right="0.5905511811023623" top="0.5905511811023623" bottom="0.5905511811023623" header="0" footer="0"/>
  <pageSetup fitToHeight="1" fitToWidth="1" horizontalDpi="300" verticalDpi="300" orientation="landscape" paperSize="9" scale="99" r:id="rId3"/>
  <drawing r:id="rId2"/>
  <tableParts>
    <tablePart r:id="rId1"/>
  </tableParts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zoomScalePageLayoutView="0" workbookViewId="0" topLeftCell="A1">
      <selection activeCell="E14" sqref="E14"/>
    </sheetView>
  </sheetViews>
  <sheetFormatPr defaultColWidth="9.140625" defaultRowHeight="15" outlineLevelCol="1"/>
  <cols>
    <col min="1" max="1" width="11.7109375" style="24" customWidth="1" outlineLevel="1"/>
    <col min="2" max="2" width="7.8515625" style="24" customWidth="1"/>
    <col min="3" max="3" width="29.421875" style="24" customWidth="1"/>
    <col min="4" max="5" width="11.7109375" style="24" customWidth="1"/>
    <col min="6" max="6" width="11.7109375" style="24" customWidth="1" outlineLevel="1"/>
    <col min="7" max="7" width="11.7109375" style="24" customWidth="1"/>
    <col min="8" max="8" width="9.28125" style="24" customWidth="1"/>
    <col min="9" max="9" width="11.8515625" style="24" customWidth="1"/>
    <col min="10" max="10" width="12.8515625" style="24" customWidth="1"/>
    <col min="11" max="11" width="8.8515625" style="24" customWidth="1" outlineLevel="1"/>
    <col min="12" max="12" width="10.140625" style="24" customWidth="1" outlineLevel="1" collapsed="1"/>
    <col min="13" max="13" width="9.140625" style="24" customWidth="1" outlineLevel="1"/>
    <col min="14" max="14" width="12.57421875" style="24" customWidth="1" outlineLevel="1"/>
    <col min="15" max="15" width="9.140625" style="24" customWidth="1"/>
    <col min="16" max="16" width="29.8515625" style="24" bestFit="1" customWidth="1"/>
    <col min="17" max="19" width="7.28125" style="24" customWidth="1"/>
    <col min="20" max="20" width="16.140625" style="24" bestFit="1" customWidth="1"/>
    <col min="21" max="16384" width="9.140625" style="24" customWidth="1"/>
  </cols>
  <sheetData>
    <row r="1" spans="1:16" ht="38.25" customHeight="1">
      <c r="A1" s="87"/>
      <c r="B1" s="314"/>
      <c r="C1" s="315"/>
      <c r="D1" s="346" t="s">
        <v>157</v>
      </c>
      <c r="E1" s="347"/>
      <c r="F1" s="347"/>
      <c r="G1" s="347"/>
      <c r="H1" s="347"/>
      <c r="I1" s="347"/>
      <c r="J1" s="348"/>
      <c r="K1" s="57"/>
      <c r="L1" s="57"/>
      <c r="P1" s="43" t="s">
        <v>57</v>
      </c>
    </row>
    <row r="2" spans="1:16" ht="30.75" customHeight="1" thickBot="1">
      <c r="A2" s="88"/>
      <c r="B2" s="316"/>
      <c r="C2" s="317"/>
      <c r="D2" s="349"/>
      <c r="E2" s="350"/>
      <c r="F2" s="350"/>
      <c r="G2" s="350"/>
      <c r="H2" s="350"/>
      <c r="I2" s="350"/>
      <c r="J2" s="351"/>
      <c r="K2" s="58"/>
      <c r="L2" s="58"/>
      <c r="P2" s="45" t="s">
        <v>56</v>
      </c>
    </row>
    <row r="3" spans="2:17" ht="15.75" customHeight="1" thickBot="1">
      <c r="B3" s="295" t="s">
        <v>1</v>
      </c>
      <c r="C3" s="296"/>
      <c r="D3" s="306" t="e">
        <f>РангСоревнований</f>
        <v>#REF!</v>
      </c>
      <c r="E3" s="306"/>
      <c r="F3" s="306"/>
      <c r="G3" s="306"/>
      <c r="H3" s="306"/>
      <c r="I3" s="306"/>
      <c r="J3" s="306"/>
      <c r="K3" s="13"/>
      <c r="L3" s="13"/>
      <c r="P3" s="14"/>
      <c r="Q3" s="14"/>
    </row>
    <row r="4" spans="2:19" ht="15.75" customHeight="1">
      <c r="B4" s="298" t="s">
        <v>2</v>
      </c>
      <c r="C4" s="299"/>
      <c r="D4" s="331" t="s">
        <v>50</v>
      </c>
      <c r="E4" s="331"/>
      <c r="F4" s="331"/>
      <c r="G4" s="331"/>
      <c r="H4" s="331"/>
      <c r="I4" s="331"/>
      <c r="J4" s="331"/>
      <c r="K4" s="22"/>
      <c r="L4" s="22"/>
      <c r="P4" s="44" t="s">
        <v>63</v>
      </c>
      <c r="Q4" s="14"/>
      <c r="R4" s="14"/>
      <c r="S4" s="14"/>
    </row>
    <row r="5" spans="2:19" ht="15.75" customHeight="1" thickBot="1">
      <c r="B5" s="298" t="s">
        <v>3</v>
      </c>
      <c r="C5" s="299"/>
      <c r="D5" s="305" t="s">
        <v>145</v>
      </c>
      <c r="E5" s="305"/>
      <c r="F5" s="305"/>
      <c r="G5" s="305"/>
      <c r="H5" s="305"/>
      <c r="I5" s="305"/>
      <c r="J5" s="305"/>
      <c r="K5" s="13"/>
      <c r="L5" s="13"/>
      <c r="P5" s="45" t="s">
        <v>62</v>
      </c>
      <c r="Q5" s="14"/>
      <c r="R5" s="14"/>
      <c r="S5" s="14"/>
    </row>
    <row r="6" spans="2:20" ht="15.75" customHeight="1">
      <c r="B6" s="298" t="s">
        <v>4</v>
      </c>
      <c r="C6" s="299"/>
      <c r="D6" s="306" t="e">
        <f>класс_дистанции</f>
        <v>#NAME?</v>
      </c>
      <c r="E6" s="306"/>
      <c r="F6" s="306"/>
      <c r="G6" s="306"/>
      <c r="H6" s="306"/>
      <c r="I6" s="306"/>
      <c r="J6" s="306"/>
      <c r="K6" s="23"/>
      <c r="L6" s="23"/>
      <c r="P6" s="36" t="s">
        <v>65</v>
      </c>
      <c r="Q6" s="33" t="s">
        <v>89</v>
      </c>
      <c r="R6" s="32" t="s">
        <v>90</v>
      </c>
      <c r="S6" s="65" t="s">
        <v>91</v>
      </c>
      <c r="T6" s="67" t="s">
        <v>148</v>
      </c>
    </row>
    <row r="7" spans="2:20" ht="16.5" customHeight="1" thickBot="1">
      <c r="B7" s="298" t="s">
        <v>5</v>
      </c>
      <c r="C7" s="299"/>
      <c r="D7" s="306" t="e">
        <f>ранг</f>
        <v>#NAME?</v>
      </c>
      <c r="E7" s="306"/>
      <c r="F7" s="306"/>
      <c r="G7" s="306"/>
      <c r="H7" s="306"/>
      <c r="I7" s="306"/>
      <c r="J7" s="306"/>
      <c r="K7" s="23"/>
      <c r="L7" s="23"/>
      <c r="P7" s="35" t="e">
        <f>ROUND(SUMIF('Кат-Итог'!$K$12:$K$25,TRUE,'Кат-Итог'!$L$12:$L$25)*VLOOKUP(с_вид_участия,т_вид_участия,3,0),0)</f>
        <v>#REF!</v>
      </c>
      <c r="Q7" s="34" t="e">
        <f>100-(VLOOKUP(P7,т_время_победителя,2,1)-100)</f>
        <v>#REF!</v>
      </c>
      <c r="R7" s="30" t="e">
        <f>100-(VLOOKUP(P7,т_время_победителя,3,1)-100)</f>
        <v>#REF!</v>
      </c>
      <c r="S7" s="66" t="e">
        <f>100-(VLOOKUP(P7,т_время_победителя,4,1)-100)</f>
        <v>#REF!</v>
      </c>
      <c r="T7" s="68" t="e">
        <f>VLOOKUP(ранг,т_класс_дистанции,2,1)</f>
        <v>#NAME?</v>
      </c>
    </row>
    <row r="8" spans="1:17" ht="15.75" hidden="1">
      <c r="A8" s="13"/>
      <c r="B8" s="13"/>
      <c r="C8" s="13"/>
      <c r="D8" s="13"/>
      <c r="E8" s="13"/>
      <c r="F8" s="13"/>
      <c r="G8" s="13"/>
      <c r="H8" s="13"/>
      <c r="I8" s="13"/>
      <c r="J8" s="13"/>
      <c r="K8" s="23"/>
      <c r="L8" s="23"/>
      <c r="N8" s="85"/>
      <c r="O8" s="63"/>
      <c r="P8" s="63"/>
      <c r="Q8" s="14"/>
    </row>
    <row r="9" spans="1:12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.75">
      <c r="A10" s="333" t="s">
        <v>43</v>
      </c>
      <c r="B10" s="333"/>
      <c r="C10" s="333"/>
      <c r="D10" s="333"/>
      <c r="E10" s="333"/>
      <c r="F10" s="333"/>
      <c r="G10" s="333"/>
      <c r="H10" s="333"/>
      <c r="I10" s="333"/>
      <c r="J10" s="333"/>
      <c r="K10" s="56"/>
      <c r="L10" s="56"/>
    </row>
    <row r="11" spans="1:14" ht="60">
      <c r="A11" s="79" t="s">
        <v>33</v>
      </c>
      <c r="B11" s="167" t="s">
        <v>39</v>
      </c>
      <c r="C11" s="153" t="s">
        <v>41</v>
      </c>
      <c r="D11" s="155" t="s">
        <v>190</v>
      </c>
      <c r="E11" s="155" t="s">
        <v>156</v>
      </c>
      <c r="F11" s="155" t="s">
        <v>166</v>
      </c>
      <c r="G11" s="158" t="s">
        <v>146</v>
      </c>
      <c r="H11" s="157" t="s">
        <v>0</v>
      </c>
      <c r="I11" s="168" t="s">
        <v>45</v>
      </c>
      <c r="J11" s="168" t="s">
        <v>147</v>
      </c>
      <c r="K11" s="15" t="s">
        <v>64</v>
      </c>
      <c r="L11" s="19" t="s">
        <v>59</v>
      </c>
      <c r="M11" s="98" t="s">
        <v>160</v>
      </c>
      <c r="N11" s="101" t="s">
        <v>162</v>
      </c>
    </row>
    <row r="12" spans="1:14" ht="15.75">
      <c r="A12" s="174">
        <v>4</v>
      </c>
      <c r="B12" s="166">
        <f>_xlfn.IFERROR(VLOOKUP('Кат-Итог'!$A12,#REF!,2,0),0)</f>
        <v>0</v>
      </c>
      <c r="C12" s="161">
        <f>_xlfn.IFERROR(VLOOKUP('Кат-Итог'!$A12,#REF!,3,0),0)</f>
        <v>0</v>
      </c>
      <c r="D12" s="76" t="e">
        <f>VLOOKUP('Кат-Итог'!$A12,#REF!,27,0)</f>
        <v>#REF!</v>
      </c>
      <c r="E12" s="76" t="e">
        <f>VLOOKUP('Кат-Итог'!$A12,#REF!,16,0)</f>
        <v>#REF!</v>
      </c>
      <c r="F12" s="76" t="e">
        <f>RANK('Кат-Итог'!$D12,'Кат-Итог'!$D$12:$D$25,1)+RANK('Кат-Итог'!$G12,'Кат-Итог'!$G$12:$G$25,1)*1000</f>
        <v>#REF!</v>
      </c>
      <c r="G12" s="166" t="e">
        <f>SUM('Кат-Итог'!$D12,'Кат-Итог'!$E12)</f>
        <v>#REF!</v>
      </c>
      <c r="H12" s="93" t="e">
        <f>IF((COUNTIF('Кат-Итог'!$F$12:$F$25,'Кат-Итог'!$F12)-1)=0,RANK('Кат-Итог'!$F12,'Кат-Итог'!$F$12:$F$25,0),RANK('Кат-Итог'!$F12,'Кат-Итог'!$F$12:$F$25,0)&amp;"-"&amp;RANK('Кат-Итог'!$F12,'Кат-Итог'!$F$12:$F$25,0)+COUNTIF('Кат-Итог'!$F$12:$F$25,'Кат-Итог'!$F12)-1)</f>
        <v>#REF!</v>
      </c>
      <c r="I12" s="78" t="e">
        <f>100*'Кат-Итог'!$G12/MAX('Кат-Итог'!$G$12:$G$25)</f>
        <v>#REF!</v>
      </c>
      <c r="J12" s="76" t="e">
        <f>IF('Кат-Итог'!$I12&gt;=$Q$7,"1 разряд",IF('Кат-Итог'!$I12&gt;=$R$7,"2 разряд",IF('Кат-Итог'!$I12&gt;=$S$7,"3 разряд","")))</f>
        <v>#REF!</v>
      </c>
      <c r="K12" s="95" t="e">
        <f>'Кат-Итог'!$H12&lt;=VLOOKUP($P$5,т_вид_участия,2,0)</f>
        <v>#REF!</v>
      </c>
      <c r="L12" s="96" t="e">
        <f>IF('Кат-Итог'!$K12=FALSE,0,VLOOKUP('Кат-Итог'!$A12,#REF!,9,0))</f>
        <v>#REF!</v>
      </c>
      <c r="M12" s="91" t="e">
        <f>'Кат-Итог'!$G12+'Кат-Итог'!$D12</f>
        <v>#REF!</v>
      </c>
      <c r="N12" s="91" t="e">
        <f>SUM(--(FREQUENCY(('Кат-Итог'!$M$12:$M$25&gt;'Кат-Итог'!$M12)*'Кат-Итог'!$M$12:$M$25,'Кат-Итог'!$M$12:$M$25)&gt;0))</f>
        <v>#REF!</v>
      </c>
    </row>
    <row r="13" spans="1:14" ht="18" customHeight="1">
      <c r="A13" s="174">
        <v>5</v>
      </c>
      <c r="B13" s="160">
        <f>_xlfn.IFERROR(VLOOKUP('Кат-Итог'!$A13,#REF!,2,0),0)</f>
        <v>0</v>
      </c>
      <c r="C13" s="161">
        <f>_xlfn.IFERROR(VLOOKUP('Кат-Итог'!$A13,#REF!,3,0),0)</f>
        <v>0</v>
      </c>
      <c r="D13" s="76" t="e">
        <f>VLOOKUP('Кат-Итог'!$A13,#REF!,27,0)</f>
        <v>#REF!</v>
      </c>
      <c r="E13" s="76" t="e">
        <f>VLOOKUP('Кат-Итог'!$A13,#REF!,16,0)</f>
        <v>#REF!</v>
      </c>
      <c r="F13" s="76" t="e">
        <f>RANK('Кат-Итог'!$D13,'Кат-Итог'!$D$12:$D$25,1)+RANK('Кат-Итог'!$G13,'Кат-Итог'!$G$12:$G$25,1)*1000</f>
        <v>#REF!</v>
      </c>
      <c r="G13" s="166" t="e">
        <f>SUM('Кат-Итог'!$D13,'Кат-Итог'!$E13)</f>
        <v>#REF!</v>
      </c>
      <c r="H13" s="93" t="e">
        <f>IF((COUNTIF('Кат-Итог'!$F$12:$F$25,'Кат-Итог'!$F13)-1)=0,RANK('Кат-Итог'!$F13,'Кат-Итог'!$F$12:$F$25,0),RANK('Кат-Итог'!$F13,'Кат-Итог'!$F$12:$F$25,0)&amp;"-"&amp;RANK('Кат-Итог'!$F13,'Кат-Итог'!$F$12:$F$25,0)+COUNTIF('Кат-Итог'!$F$12:$F$25,'Кат-Итог'!$F13)-1)</f>
        <v>#REF!</v>
      </c>
      <c r="I13" s="78" t="e">
        <f>100*'Кат-Итог'!$G13/MAX('Кат-Итог'!$G$12:$G$25)</f>
        <v>#REF!</v>
      </c>
      <c r="J13" s="76" t="e">
        <f>IF('Кат-Итог'!$I13&gt;=$Q$7,"1 разряд",IF('Кат-Итог'!$I13&gt;=$R$7,"2 разряд",IF('Кат-Итог'!$I13&gt;=$S$7,"3 разряд","")))</f>
        <v>#REF!</v>
      </c>
      <c r="K13" s="95" t="e">
        <f>'Кат-Итог'!$H13&lt;=VLOOKUP($P$5,т_вид_участия,2,0)</f>
        <v>#REF!</v>
      </c>
      <c r="L13" s="96" t="e">
        <f>IF('Кат-Итог'!$K13=FALSE,0,VLOOKUP('Кат-Итог'!$A13,#REF!,9,0))</f>
        <v>#REF!</v>
      </c>
      <c r="M13" s="91" t="e">
        <f>'Кат-Итог'!$G13+'Кат-Итог'!$D13</f>
        <v>#REF!</v>
      </c>
      <c r="N13" s="94" t="e">
        <f>SUM(--(FREQUENCY(('Кат-Итог'!$M$12:$M$25&gt;'Кат-Итог'!$M13)*'Кат-Итог'!$M$12:$M$25,'Кат-Итог'!$M$12:$M$25)&gt;0))</f>
        <v>#REF!</v>
      </c>
    </row>
    <row r="14" spans="1:14" ht="15.75">
      <c r="A14" s="174">
        <v>9</v>
      </c>
      <c r="B14" s="160">
        <f>_xlfn.IFERROR(VLOOKUP('Кат-Итог'!$A14,#REF!,2,0),0)</f>
        <v>0</v>
      </c>
      <c r="C14" s="161">
        <f>_xlfn.IFERROR(VLOOKUP('Кат-Итог'!$A14,#REF!,3,0),0)</f>
        <v>0</v>
      </c>
      <c r="D14" s="76" t="e">
        <f>VLOOKUP('Кат-Итог'!$A14,#REF!,27,0)</f>
        <v>#REF!</v>
      </c>
      <c r="E14" s="76" t="e">
        <f>VLOOKUP('Кат-Итог'!$A14,#REF!,16,0)</f>
        <v>#REF!</v>
      </c>
      <c r="F14" s="76" t="e">
        <f>RANK('Кат-Итог'!$D14,'Кат-Итог'!$D$12:$D$25,1)+RANK('Кат-Итог'!$G14,'Кат-Итог'!$G$12:$G$25,1)*1000</f>
        <v>#REF!</v>
      </c>
      <c r="G14" s="166" t="e">
        <f>SUM('Кат-Итог'!$D14,'Кат-Итог'!$E14)</f>
        <v>#REF!</v>
      </c>
      <c r="H14" s="93" t="e">
        <f>IF((COUNTIF('Кат-Итог'!$F$12:$F$25,'Кат-Итог'!$F14)-1)=0,RANK('Кат-Итог'!$F14,'Кат-Итог'!$F$12:$F$25,0),RANK('Кат-Итог'!$F14,'Кат-Итог'!$F$12:$F$25,0)&amp;"-"&amp;RANK('Кат-Итог'!$F14,'Кат-Итог'!$F$12:$F$25,0)+COUNTIF('Кат-Итог'!$F$12:$F$25,'Кат-Итог'!$F14)-1)</f>
        <v>#REF!</v>
      </c>
      <c r="I14" s="78" t="e">
        <f>100*'Кат-Итог'!$G14/MAX('Кат-Итог'!$G$12:$G$25)</f>
        <v>#REF!</v>
      </c>
      <c r="J14" s="76" t="e">
        <f>IF('Кат-Итог'!$I14&gt;=$Q$7,"1 разряд",IF('Кат-Итог'!$I14&gt;=$R$7,"2 разряд",IF('Кат-Итог'!$I14&gt;=$S$7,"3 разряд","")))</f>
        <v>#REF!</v>
      </c>
      <c r="K14" s="95" t="e">
        <f>'Кат-Итог'!$H14&lt;=VLOOKUP($P$5,т_вид_участия,2,0)</f>
        <v>#REF!</v>
      </c>
      <c r="L14" s="96" t="e">
        <f>IF('Кат-Итог'!$K14=FALSE,0,VLOOKUP('Кат-Итог'!$A14,#REF!,9,0))</f>
        <v>#REF!</v>
      </c>
      <c r="M14" s="91" t="e">
        <f>'Кат-Итог'!$G14+'Кат-Итог'!$D14</f>
        <v>#REF!</v>
      </c>
      <c r="N14" s="91" t="e">
        <f>SUM(--(FREQUENCY(('Кат-Итог'!$M$12:$M$25&gt;'Кат-Итог'!$M14)*'Кат-Итог'!$M$12:$M$25,'Кат-Итог'!$M$12:$M$25)&gt;0))</f>
        <v>#REF!</v>
      </c>
    </row>
    <row r="15" spans="1:14" ht="15.75">
      <c r="A15" s="174">
        <v>16</v>
      </c>
      <c r="B15" s="177">
        <f>_xlfn.IFERROR(VLOOKUP('Кат-Итог'!$A15,#REF!,2,0),0)</f>
        <v>0</v>
      </c>
      <c r="C15" s="161">
        <f>_xlfn.IFERROR(VLOOKUP('Кат-Итог'!$A15,#REF!,3,0),0)</f>
        <v>0</v>
      </c>
      <c r="D15" s="76" t="e">
        <f>VLOOKUP('Кат-Итог'!$A15,#REF!,27,0)</f>
        <v>#REF!</v>
      </c>
      <c r="E15" s="76" t="e">
        <f>VLOOKUP('Кат-Итог'!$A15,#REF!,16,0)</f>
        <v>#REF!</v>
      </c>
      <c r="F15" s="76" t="e">
        <f>RANK('Кат-Итог'!$D15,'Кат-Итог'!$D$12:$D$25,1)+RANK('Кат-Итог'!$G15,'Кат-Итог'!$G$12:$G$25,1)*1000</f>
        <v>#REF!</v>
      </c>
      <c r="G15" s="166" t="e">
        <f>SUM('Кат-Итог'!$D15,'Кат-Итог'!$E15)</f>
        <v>#REF!</v>
      </c>
      <c r="H15" s="93" t="e">
        <f>IF((COUNTIF('Кат-Итог'!$F$12:$F$25,'Кат-Итог'!$F15)-1)=0,RANK('Кат-Итог'!$F15,'Кат-Итог'!$F$12:$F$25,0),RANK('Кат-Итог'!$F15,'Кат-Итог'!$F$12:$F$25,0)&amp;"-"&amp;RANK('Кат-Итог'!$F15,'Кат-Итог'!$F$12:$F$25,0)+COUNTIF('Кат-Итог'!$F$12:$F$25,'Кат-Итог'!$F15)-1)</f>
        <v>#REF!</v>
      </c>
      <c r="I15" s="78" t="e">
        <f>100*'Кат-Итог'!$G15/MAX('Кат-Итог'!$G$12:$G$25)</f>
        <v>#REF!</v>
      </c>
      <c r="J15" s="76" t="e">
        <f>IF('Кат-Итог'!$I15&gt;=$Q$7,"1 разряд",IF('Кат-Итог'!$I15&gt;=$R$7,"2 разряд",IF('Кат-Итог'!$I15&gt;=$S$7,"3 разряд","")))</f>
        <v>#REF!</v>
      </c>
      <c r="K15" s="95" t="e">
        <f>'Кат-Итог'!$H15&lt;=VLOOKUP($P$5,т_вид_участия,2,0)</f>
        <v>#REF!</v>
      </c>
      <c r="L15" s="96" t="e">
        <f>IF('Кат-Итог'!$K15=FALSE,0,VLOOKUP('Кат-Итог'!$A15,#REF!,9,0))</f>
        <v>#REF!</v>
      </c>
      <c r="M15" s="91" t="e">
        <f>'Кат-Итог'!$G15+'Кат-Итог'!$D15</f>
        <v>#REF!</v>
      </c>
      <c r="N15" s="94" t="e">
        <f>SUM(--(FREQUENCY(('Кат-Итог'!$M$12:$M$25&gt;'Кат-Итог'!$M15)*'Кат-Итог'!$M$12:$M$25,'Кат-Итог'!$M$12:$M$25)&gt;0))</f>
        <v>#REF!</v>
      </c>
    </row>
    <row r="16" spans="1:14" ht="15.75">
      <c r="A16" s="174">
        <v>28</v>
      </c>
      <c r="B16" s="160">
        <f>_xlfn.IFERROR(VLOOKUP('Кат-Итог'!$A16,#REF!,2,0),0)</f>
        <v>0</v>
      </c>
      <c r="C16" s="161">
        <f>_xlfn.IFERROR(VLOOKUP('Кат-Итог'!$A16,#REF!,3,0),0)</f>
        <v>0</v>
      </c>
      <c r="D16" s="76" t="e">
        <f>VLOOKUP('Кат-Итог'!$A16,#REF!,27,0)</f>
        <v>#REF!</v>
      </c>
      <c r="E16" s="76" t="e">
        <f>VLOOKUP('Кат-Итог'!$A16,#REF!,16,0)</f>
        <v>#REF!</v>
      </c>
      <c r="F16" s="76" t="e">
        <f>RANK('Кат-Итог'!$D16,'Кат-Итог'!$D$12:$D$25,1)+RANK('Кат-Итог'!$G16,'Кат-Итог'!$G$12:$G$25,1)*1000</f>
        <v>#REF!</v>
      </c>
      <c r="G16" s="166" t="e">
        <f>SUM('Кат-Итог'!$D16,'Кат-Итог'!$E16)</f>
        <v>#REF!</v>
      </c>
      <c r="H16" s="93" t="e">
        <f>IF((COUNTIF('Кат-Итог'!$F$12:$F$25,'Кат-Итог'!$F16)-1)=0,RANK('Кат-Итог'!$F16,'Кат-Итог'!$F$12:$F$25,0),RANK('Кат-Итог'!$F16,'Кат-Итог'!$F$12:$F$25,0)&amp;"-"&amp;RANK('Кат-Итог'!$F16,'Кат-Итог'!$F$12:$F$25,0)+COUNTIF('Кат-Итог'!$F$12:$F$25,'Кат-Итог'!$F16)-1)</f>
        <v>#REF!</v>
      </c>
      <c r="I16" s="78" t="e">
        <f>100*'Кат-Итог'!$G16/MAX('Кат-Итог'!$G$12:$G$25)</f>
        <v>#REF!</v>
      </c>
      <c r="J16" s="76" t="e">
        <f>IF('Кат-Итог'!$I16&gt;=$Q$7,"1 разряд",IF('Кат-Итог'!$I16&gt;=$R$7,"2 разряд",IF('Кат-Итог'!$I16&gt;=$S$7,"3 разряд","")))</f>
        <v>#REF!</v>
      </c>
      <c r="K16" s="95" t="e">
        <f>'Кат-Итог'!$H16&lt;=VLOOKUP($P$5,т_вид_участия,2,0)</f>
        <v>#REF!</v>
      </c>
      <c r="L16" s="96" t="e">
        <f>IF('Кат-Итог'!$K16=FALSE,0,VLOOKUP('Кат-Итог'!$A16,#REF!,9,0))</f>
        <v>#REF!</v>
      </c>
      <c r="M16" s="91" t="e">
        <f>'Кат-Итог'!$G16+'Кат-Итог'!$D16</f>
        <v>#REF!</v>
      </c>
      <c r="N16" s="91" t="e">
        <f>SUM(--(FREQUENCY(('Кат-Итог'!$M$12:$M$25&gt;'Кат-Итог'!$M16)*'Кат-Итог'!$M$12:$M$25,'Кат-Итог'!$M$12:$M$25)&gt;0))</f>
        <v>#REF!</v>
      </c>
    </row>
    <row r="17" spans="1:14" ht="15.75">
      <c r="A17" s="174">
        <v>23</v>
      </c>
      <c r="B17" s="160">
        <f>_xlfn.IFERROR(VLOOKUP('Кат-Итог'!$A17,#REF!,2,0),0)</f>
        <v>0</v>
      </c>
      <c r="C17" s="161">
        <f>_xlfn.IFERROR(VLOOKUP('Кат-Итог'!$A17,#REF!,3,0),0)</f>
        <v>0</v>
      </c>
      <c r="D17" s="76" t="e">
        <f>VLOOKUP('Кат-Итог'!$A17,#REF!,27,0)</f>
        <v>#REF!</v>
      </c>
      <c r="E17" s="76" t="e">
        <f>VLOOKUP('Кат-Итог'!$A17,#REF!,16,0)</f>
        <v>#REF!</v>
      </c>
      <c r="F17" s="76" t="e">
        <f>RANK('Кат-Итог'!$D17,'Кат-Итог'!$D$12:$D$25,1)+RANK('Кат-Итог'!$G17,'Кат-Итог'!$G$12:$G$25,1)*1000</f>
        <v>#REF!</v>
      </c>
      <c r="G17" s="166" t="e">
        <f>SUM('Кат-Итог'!$D17,'Кат-Итог'!$E17)</f>
        <v>#REF!</v>
      </c>
      <c r="H17" s="93" t="e">
        <f>IF((COUNTIF('Кат-Итог'!$F$12:$F$25,'Кат-Итог'!$F17)-1)=0,RANK('Кат-Итог'!$F17,'Кат-Итог'!$F$12:$F$25,0),RANK('Кат-Итог'!$F17,'Кат-Итог'!$F$12:$F$25,0)&amp;"-"&amp;RANK('Кат-Итог'!$F17,'Кат-Итог'!$F$12:$F$25,0)+COUNTIF('Кат-Итог'!$F$12:$F$25,'Кат-Итог'!$F17)-1)</f>
        <v>#REF!</v>
      </c>
      <c r="I17" s="78" t="e">
        <f>100*'Кат-Итог'!$G17/MAX('Кат-Итог'!$G$12:$G$25)</f>
        <v>#REF!</v>
      </c>
      <c r="J17" s="76" t="e">
        <f>IF('Кат-Итог'!$I17&gt;=$Q$7,"1 разряд",IF('Кат-Итог'!$I17&gt;=$R$7,"2 разряд",IF('Кат-Итог'!$I17&gt;=$S$7,"3 разряд","")))</f>
        <v>#REF!</v>
      </c>
      <c r="K17" s="95" t="e">
        <f>'Кат-Итог'!$H17&lt;=VLOOKUP($P$5,т_вид_участия,2,0)</f>
        <v>#REF!</v>
      </c>
      <c r="L17" s="96" t="e">
        <f>IF('Кат-Итог'!$K17=FALSE,0,VLOOKUP('Кат-Итог'!$A17,#REF!,9,0))</f>
        <v>#REF!</v>
      </c>
      <c r="M17" s="91" t="e">
        <f>'Кат-Итог'!$G17+'Кат-Итог'!$D17</f>
        <v>#REF!</v>
      </c>
      <c r="N17" s="94" t="e">
        <f>SUM(--(FREQUENCY(('Кат-Итог'!$M$12:$M$25&gt;'Кат-Итог'!$M17)*'Кат-Итог'!$M$12:$M$25,'Кат-Итог'!$M$12:$M$25)&gt;0))</f>
        <v>#REF!</v>
      </c>
    </row>
    <row r="18" spans="1:14" ht="15.75">
      <c r="A18" s="174">
        <v>22</v>
      </c>
      <c r="B18" s="160">
        <f>_xlfn.IFERROR(VLOOKUP('Кат-Итог'!$A18,#REF!,2,0),0)</f>
        <v>0</v>
      </c>
      <c r="C18" s="161">
        <f>_xlfn.IFERROR(VLOOKUP('Кат-Итог'!$A18,#REF!,3,0),0)</f>
        <v>0</v>
      </c>
      <c r="D18" s="76" t="e">
        <f>VLOOKUP('Кат-Итог'!$A18,#REF!,27,0)</f>
        <v>#REF!</v>
      </c>
      <c r="E18" s="76" t="e">
        <f>VLOOKUP('Кат-Итог'!$A18,#REF!,16,0)</f>
        <v>#REF!</v>
      </c>
      <c r="F18" s="76" t="e">
        <f>RANK('Кат-Итог'!$D18,'Кат-Итог'!$D$12:$D$25,1)+RANK('Кат-Итог'!$G18,'Кат-Итог'!$G$12:$G$25,1)*1000</f>
        <v>#REF!</v>
      </c>
      <c r="G18" s="166" t="e">
        <f>SUM('Кат-Итог'!$D18,'Кат-Итог'!$E18)</f>
        <v>#REF!</v>
      </c>
      <c r="H18" s="93" t="e">
        <f>IF((COUNTIF('Кат-Итог'!$F$12:$F$25,'Кат-Итог'!$F18)-1)=0,RANK('Кат-Итог'!$F18,'Кат-Итог'!$F$12:$F$25,0),RANK('Кат-Итог'!$F18,'Кат-Итог'!$F$12:$F$25,0)&amp;"-"&amp;RANK('Кат-Итог'!$F18,'Кат-Итог'!$F$12:$F$25,0)+COUNTIF('Кат-Итог'!$F$12:$F$25,'Кат-Итог'!$F18)-1)</f>
        <v>#REF!</v>
      </c>
      <c r="I18" s="78" t="e">
        <f>100*'Кат-Итог'!$G18/MAX('Кат-Итог'!$G$12:$G$25)</f>
        <v>#REF!</v>
      </c>
      <c r="J18" s="76" t="e">
        <f>IF('Кат-Итог'!$I18&gt;=$Q$7,"1 разряд",IF('Кат-Итог'!$I18&gt;=$R$7,"2 разряд",IF('Кат-Итог'!$I18&gt;=$S$7,"3 разряд","")))</f>
        <v>#REF!</v>
      </c>
      <c r="K18" s="95" t="e">
        <f>'Кат-Итог'!$H18&lt;=VLOOKUP($P$5,т_вид_участия,2,0)</f>
        <v>#REF!</v>
      </c>
      <c r="L18" s="96" t="e">
        <f>IF('Кат-Итог'!$K18=FALSE,0,VLOOKUP('Кат-Итог'!$A18,#REF!,9,0))</f>
        <v>#REF!</v>
      </c>
      <c r="M18" s="91" t="e">
        <f>'Кат-Итог'!$G18+'Кат-Итог'!$D18</f>
        <v>#REF!</v>
      </c>
      <c r="N18" s="91" t="e">
        <f>SUM(--(FREQUENCY(('Кат-Итог'!$M$12:$M$25&gt;'Кат-Итог'!$M18)*'Кат-Итог'!$M$12:$M$25,'Кат-Итог'!$M$12:$M$25)&gt;0))</f>
        <v>#REF!</v>
      </c>
    </row>
    <row r="19" spans="1:14" ht="15.75">
      <c r="A19" s="174">
        <v>1</v>
      </c>
      <c r="B19" s="164">
        <f>_xlfn.IFERROR(VLOOKUP('Кат-Итог'!$A19,#REF!,2,0),0)</f>
        <v>0</v>
      </c>
      <c r="C19" s="165">
        <f>_xlfn.IFERROR(VLOOKUP('Кат-Итог'!$A19,#REF!,3,0),0)</f>
        <v>0</v>
      </c>
      <c r="D19" s="77" t="e">
        <f>VLOOKUP('Кат-Итог'!$A19,#REF!,27,0)</f>
        <v>#REF!</v>
      </c>
      <c r="E19" s="77" t="e">
        <f>VLOOKUP('Кат-Итог'!$A19,#REF!,16,0)</f>
        <v>#REF!</v>
      </c>
      <c r="F19" s="77" t="e">
        <f>RANK('Кат-Итог'!$D19,'Кат-Итог'!$D$12:$D$25,1)+RANK('Кат-Итог'!$G19,'Кат-Итог'!$G$12:$G$25,1)*1000</f>
        <v>#REF!</v>
      </c>
      <c r="G19" s="169" t="e">
        <f>SUM('Кат-Итог'!$D19,'Кат-Итог'!$E19)</f>
        <v>#REF!</v>
      </c>
      <c r="H19" s="93" t="e">
        <f>IF((COUNTIF('Кат-Итог'!$F$12:$F$25,'Кат-Итог'!$F19)-1)=0,RANK('Кат-Итог'!$F19,'Кат-Итог'!$F$12:$F$25,0),RANK('Кат-Итог'!$F19,'Кат-Итог'!$F$12:$F$25,0)&amp;"-"&amp;RANK('Кат-Итог'!$F19,'Кат-Итог'!$F$12:$F$25,0)+COUNTIF('Кат-Итог'!$F$12:$F$25,'Кат-Итог'!$F19)-1)</f>
        <v>#REF!</v>
      </c>
      <c r="I19" s="92" t="e">
        <f>100*'Кат-Итог'!$G19/MAX('Кат-Итог'!$G$12:$G$25)</f>
        <v>#REF!</v>
      </c>
      <c r="J19" s="77" t="e">
        <f>IF('Кат-Итог'!$I19&gt;=$Q$7,"1 разряд",IF('Кат-Итог'!$I19&gt;=$R$7,"2 разряд",IF('Кат-Итог'!$I19&gt;=$S$7,"3 разряд","")))</f>
        <v>#REF!</v>
      </c>
      <c r="K19" s="95" t="e">
        <f>'Кат-Итог'!$H19&lt;=VLOOKUP($P$5,т_вид_участия,2,0)</f>
        <v>#REF!</v>
      </c>
      <c r="L19" s="96" t="e">
        <f>IF('Кат-Итог'!$K19=FALSE,0,VLOOKUP('Кат-Итог'!$A19,#REF!,9,0))</f>
        <v>#REF!</v>
      </c>
      <c r="M19" s="91" t="e">
        <f>'Кат-Итог'!$G19+'Кат-Итог'!$D19</f>
        <v>#REF!</v>
      </c>
      <c r="N19" s="91" t="e">
        <f>SUM(--(FREQUENCY(('Кат-Итог'!$M$12:$M$25&gt;'Кат-Итог'!$M19)*'Кат-Итог'!$M$12:$M$25,'Кат-Итог'!$M$12:$M$25)&gt;0))</f>
        <v>#REF!</v>
      </c>
    </row>
    <row r="20" spans="1:14" s="14" customFormat="1" ht="15.75">
      <c r="A20" s="174">
        <v>19</v>
      </c>
      <c r="B20" s="166">
        <f>_xlfn.IFERROR(VLOOKUP('Кат-Итог'!$A20,#REF!,2,0),0)</f>
        <v>0</v>
      </c>
      <c r="C20" s="161">
        <f>_xlfn.IFERROR(VLOOKUP('Кат-Итог'!$A20,#REF!,3,0),0)</f>
        <v>0</v>
      </c>
      <c r="D20" s="76" t="e">
        <f>VLOOKUP('Кат-Итог'!$A20,#REF!,27,0)</f>
        <v>#REF!</v>
      </c>
      <c r="E20" s="76" t="e">
        <f>VLOOKUP('Кат-Итог'!$A20,#REF!,16,0)</f>
        <v>#REF!</v>
      </c>
      <c r="F20" s="76" t="e">
        <f>RANK('Кат-Итог'!$D20,'Кат-Итог'!$D$12:$D$25,1)+RANK('Кат-Итог'!$G20,'Кат-Итог'!$G$12:$G$25,1)*1000</f>
        <v>#REF!</v>
      </c>
      <c r="G20" s="166" t="e">
        <f>SUM('Кат-Итог'!$D20,'Кат-Итог'!$E20)</f>
        <v>#REF!</v>
      </c>
      <c r="H20" s="93" t="e">
        <f>IF((COUNTIF('Кат-Итог'!$F$12:$F$25,'Кат-Итог'!$F20)-1)=0,RANK('Кат-Итог'!$F20,'Кат-Итог'!$F$12:$F$25,0),RANK('Кат-Итог'!$F20,'Кат-Итог'!$F$12:$F$25,0)&amp;"-"&amp;RANK('Кат-Итог'!$F20,'Кат-Итог'!$F$12:$F$25,0)+COUNTIF('Кат-Итог'!$F$12:$F$25,'Кат-Итог'!$F20)-1)</f>
        <v>#REF!</v>
      </c>
      <c r="I20" s="78" t="e">
        <f>100*'Кат-Итог'!$G20/MAX('Кат-Итог'!$G$12:$G$25)</f>
        <v>#REF!</v>
      </c>
      <c r="J20" s="76" t="e">
        <f>IF('Кат-Итог'!$I20&gt;=$Q$7,"1 разряд",IF('Кат-Итог'!$I20&gt;=$R$7,"2 разряд",IF('Кат-Итог'!$I20&gt;=$S$7,"3 разряд","")))</f>
        <v>#REF!</v>
      </c>
      <c r="K20" s="95" t="e">
        <f>'Кат-Итог'!$H20&lt;=VLOOKUP($P$5,т_вид_участия,2,0)</f>
        <v>#REF!</v>
      </c>
      <c r="L20" s="96" t="e">
        <f>IF('Кат-Итог'!$K20=FALSE,0,VLOOKUP('Кат-Итог'!$A20,#REF!,9,0))</f>
        <v>#REF!</v>
      </c>
      <c r="M20" s="91" t="e">
        <f>'Кат-Итог'!$G20+'Кат-Итог'!$D20</f>
        <v>#REF!</v>
      </c>
      <c r="N20" s="91" t="e">
        <f>SUM(--(FREQUENCY(('Кат-Итог'!$M$12:$M$25&gt;'Кат-Итог'!$M20)*'Кат-Итог'!$M$12:$M$25,'Кат-Итог'!$M$12:$M$25)&gt;0))</f>
        <v>#REF!</v>
      </c>
    </row>
    <row r="21" spans="1:14" s="14" customFormat="1" ht="15" customHeight="1">
      <c r="A21" s="174">
        <v>8</v>
      </c>
      <c r="B21" s="166">
        <f>_xlfn.IFERROR(VLOOKUP('Кат-Итог'!$A21,#REF!,2,0),0)</f>
        <v>0</v>
      </c>
      <c r="C21" s="161">
        <f>_xlfn.IFERROR(VLOOKUP('Кат-Итог'!$A21,#REF!,3,0),0)</f>
        <v>0</v>
      </c>
      <c r="D21" s="76" t="e">
        <f>VLOOKUP('Кат-Итог'!$A21,#REF!,27,0)</f>
        <v>#REF!</v>
      </c>
      <c r="E21" s="76" t="e">
        <f>VLOOKUP('Кат-Итог'!$A21,#REF!,16,0)</f>
        <v>#REF!</v>
      </c>
      <c r="F21" s="76" t="e">
        <f>RANK('Кат-Итог'!$D21,'Кат-Итог'!$D$12:$D$25,1)+RANK('Кат-Итог'!$G21,'Кат-Итог'!$G$12:$G$25,1)*1000</f>
        <v>#REF!</v>
      </c>
      <c r="G21" s="166" t="e">
        <f>SUM('Кат-Итог'!$D21,'Кат-Итог'!$E21)</f>
        <v>#REF!</v>
      </c>
      <c r="H21" s="93" t="e">
        <f>IF((COUNTIF('Кат-Итог'!$F$12:$F$25,'Кат-Итог'!$F21)-1)=0,RANK('Кат-Итог'!$F21,'Кат-Итог'!$F$12:$F$25,0),RANK('Кат-Итог'!$F21,'Кат-Итог'!$F$12:$F$25,0)&amp;"-"&amp;RANK('Кат-Итог'!$F21,'Кат-Итог'!$F$12:$F$25,0)+COUNTIF('Кат-Итог'!$F$12:$F$25,'Кат-Итог'!$F21)-1)</f>
        <v>#REF!</v>
      </c>
      <c r="I21" s="78" t="e">
        <f>100*'Кат-Итог'!$G21/MAX('Кат-Итог'!$G$12:$G$25)</f>
        <v>#REF!</v>
      </c>
      <c r="J21" s="76" t="e">
        <f>IF('Кат-Итог'!$I21&gt;=$Q$7,"1 разряд",IF('Кат-Итог'!$I21&gt;=$R$7,"2 разряд",IF('Кат-Итог'!$I21&gt;=$S$7,"3 разряд","")))</f>
        <v>#REF!</v>
      </c>
      <c r="K21" s="95" t="e">
        <f>'Кат-Итог'!$H21&lt;=VLOOKUP($P$5,т_вид_участия,2,0)</f>
        <v>#REF!</v>
      </c>
      <c r="L21" s="96" t="e">
        <f>IF('Кат-Итог'!$K21=FALSE,0,VLOOKUP('Кат-Итог'!$A21,#REF!,9,0))</f>
        <v>#REF!</v>
      </c>
      <c r="M21" s="91" t="e">
        <f>'Кат-Итог'!$G21+'Кат-Итог'!$D21</f>
        <v>#REF!</v>
      </c>
      <c r="N21" s="94" t="e">
        <f>SUM(--(FREQUENCY(('Кат-Итог'!$M$12:$M$25&gt;'Кат-Итог'!$M21)*'Кат-Итог'!$M$12:$M$25,'Кат-Итог'!$M$12:$M$25)&gt;0))</f>
        <v>#REF!</v>
      </c>
    </row>
    <row r="22" spans="1:14" s="14" customFormat="1" ht="15" customHeight="1">
      <c r="A22" s="174">
        <v>27</v>
      </c>
      <c r="B22" s="166">
        <f>_xlfn.IFERROR(VLOOKUP('Кат-Итог'!$A22,#REF!,2,0),0)</f>
        <v>0</v>
      </c>
      <c r="C22" s="161">
        <f>_xlfn.IFERROR(VLOOKUP('Кат-Итог'!$A22,#REF!,3,0),0)</f>
        <v>0</v>
      </c>
      <c r="D22" s="76" t="e">
        <f>VLOOKUP('Кат-Итог'!$A22,#REF!,27,0)</f>
        <v>#REF!</v>
      </c>
      <c r="E22" s="76" t="e">
        <f>VLOOKUP('Кат-Итог'!$A22,#REF!,16,0)</f>
        <v>#REF!</v>
      </c>
      <c r="F22" s="76" t="e">
        <f>RANK('Кат-Итог'!$D22,'Кат-Итог'!$D$12:$D$25,1)+RANK('Кат-Итог'!$G22,'Кат-Итог'!$G$12:$G$25,1)*1000</f>
        <v>#REF!</v>
      </c>
      <c r="G22" s="166" t="e">
        <f>SUM('Кат-Итог'!$D22,'Кат-Итог'!$E22)</f>
        <v>#REF!</v>
      </c>
      <c r="H22" s="93" t="e">
        <f>IF((COUNTIF('Кат-Итог'!$F$12:$F$25,'Кат-Итог'!$F22)-1)=0,RANK('Кат-Итог'!$F22,'Кат-Итог'!$F$12:$F$25,0),RANK('Кат-Итог'!$F22,'Кат-Итог'!$F$12:$F$25,0)&amp;"-"&amp;RANK('Кат-Итог'!$F22,'Кат-Итог'!$F$12:$F$25,0)+COUNTIF('Кат-Итог'!$F$12:$F$25,'Кат-Итог'!$F22)-1)</f>
        <v>#REF!</v>
      </c>
      <c r="I22" s="78" t="e">
        <f>100*'Кат-Итог'!$G22/MAX('Кат-Итог'!$G$12:$G$25)</f>
        <v>#REF!</v>
      </c>
      <c r="J22" s="76" t="e">
        <f>IF('Кат-Итог'!$I22&gt;=$Q$7,"1 разряд",IF('Кат-Итог'!$I22&gt;=$R$7,"2 разряд",IF('Кат-Итог'!$I22&gt;=$S$7,"3 разряд","")))</f>
        <v>#REF!</v>
      </c>
      <c r="K22" s="95" t="e">
        <f>'Кат-Итог'!$H22&lt;=VLOOKUP($P$5,т_вид_участия,2,0)</f>
        <v>#REF!</v>
      </c>
      <c r="L22" s="96" t="e">
        <f>IF('Кат-Итог'!$K22=FALSE,0,VLOOKUP('Кат-Итог'!$A22,#REF!,9,0))</f>
        <v>#REF!</v>
      </c>
      <c r="M22" s="91" t="e">
        <f>'Кат-Итог'!$G22+'Кат-Итог'!$D22</f>
        <v>#REF!</v>
      </c>
      <c r="N22" s="94" t="e">
        <f>SUM(--(FREQUENCY(('Кат-Итог'!$M$12:$M$25&gt;'Кат-Итог'!$M22)*'Кат-Итог'!$M$12:$M$25,'Кат-Итог'!$M$12:$M$25)&gt;0))</f>
        <v>#REF!</v>
      </c>
    </row>
    <row r="23" spans="1:14" s="14" customFormat="1" ht="15" customHeight="1">
      <c r="A23" s="174">
        <v>24</v>
      </c>
      <c r="B23" s="166">
        <f>_xlfn.IFERROR(VLOOKUP('Кат-Итог'!$A23,#REF!,2,0),0)</f>
        <v>0</v>
      </c>
      <c r="C23" s="161">
        <f>_xlfn.IFERROR(VLOOKUP('Кат-Итог'!$A23,#REF!,3,0),0)</f>
        <v>0</v>
      </c>
      <c r="D23" s="76" t="e">
        <f>VLOOKUP('Кат-Итог'!$A23,#REF!,27,0)</f>
        <v>#REF!</v>
      </c>
      <c r="E23" s="76" t="e">
        <f>VLOOKUP('Кат-Итог'!$A23,#REF!,16,0)</f>
        <v>#REF!</v>
      </c>
      <c r="F23" s="76" t="e">
        <f>RANK('Кат-Итог'!$D23,'Кат-Итог'!$D$12:$D$25,1)+RANK('Кат-Итог'!$G23,'Кат-Итог'!$G$12:$G$25,1)*1000</f>
        <v>#REF!</v>
      </c>
      <c r="G23" s="166" t="e">
        <f>SUM('Кат-Итог'!$D23,'Кат-Итог'!$E23)</f>
        <v>#REF!</v>
      </c>
      <c r="H23" s="93" t="e">
        <f>IF((COUNTIF('Кат-Итог'!$F$12:$F$25,'Кат-Итог'!$F23)-1)=0,RANK('Кат-Итог'!$F23,'Кат-Итог'!$F$12:$F$25,0),RANK('Кат-Итог'!$F23,'Кат-Итог'!$F$12:$F$25,0)&amp;"-"&amp;RANK('Кат-Итог'!$F23,'Кат-Итог'!$F$12:$F$25,0)+COUNTIF('Кат-Итог'!$F$12:$F$25,'Кат-Итог'!$F23)-1)</f>
        <v>#REF!</v>
      </c>
      <c r="I23" s="78" t="e">
        <f>100*'Кат-Итог'!$G23/MAX('Кат-Итог'!$G$12:$G$25)</f>
        <v>#REF!</v>
      </c>
      <c r="J23" s="76" t="e">
        <f>IF('Кат-Итог'!$I23&gt;=$Q$7,"1 разряд",IF('Кат-Итог'!$I23&gt;=$R$7,"2 разряд",IF('Кат-Итог'!$I23&gt;=$S$7,"3 разряд","")))</f>
        <v>#REF!</v>
      </c>
      <c r="K23" s="95" t="e">
        <f>'Кат-Итог'!$H23&lt;=VLOOKUP($P$5,т_вид_участия,2,0)</f>
        <v>#REF!</v>
      </c>
      <c r="L23" s="96" t="e">
        <f>IF('Кат-Итог'!$K23=FALSE,0,VLOOKUP('Кат-Итог'!$A23,#REF!,9,0))</f>
        <v>#REF!</v>
      </c>
      <c r="M23" s="91" t="e">
        <f>'Кат-Итог'!$G23+'Кат-Итог'!$D23</f>
        <v>#REF!</v>
      </c>
      <c r="N23" s="94" t="e">
        <f>SUM(--(FREQUENCY(('Кат-Итог'!$M$12:$M$25&gt;'Кат-Итог'!$M23)*'Кат-Итог'!$M$12:$M$25,'Кат-Итог'!$M$12:$M$25)&gt;0))</f>
        <v>#REF!</v>
      </c>
    </row>
    <row r="24" spans="1:14" s="14" customFormat="1" ht="15" customHeight="1">
      <c r="A24" s="174">
        <v>15</v>
      </c>
      <c r="B24" s="166">
        <f>_xlfn.IFERROR(VLOOKUP('Кат-Итог'!$A24,#REF!,2,0),0)</f>
        <v>0</v>
      </c>
      <c r="C24" s="161">
        <f>_xlfn.IFERROR(VLOOKUP('Кат-Итог'!$A24,#REF!,3,0),0)</f>
        <v>0</v>
      </c>
      <c r="D24" s="76" t="e">
        <f>VLOOKUP('Кат-Итог'!$A24,#REF!,27,0)</f>
        <v>#REF!</v>
      </c>
      <c r="E24" s="76" t="e">
        <f>VLOOKUP('Кат-Итог'!$A24,#REF!,16,0)</f>
        <v>#REF!</v>
      </c>
      <c r="F24" s="76" t="e">
        <f>RANK('Кат-Итог'!$D24,'Кат-Итог'!$D$12:$D$25,1)+RANK('Кат-Итог'!$G24,'Кат-Итог'!$G$12:$G$25,1)*1000</f>
        <v>#REF!</v>
      </c>
      <c r="G24" s="166" t="e">
        <f>SUM('Кат-Итог'!$D24,'Кат-Итог'!$E24)</f>
        <v>#REF!</v>
      </c>
      <c r="H24" s="93" t="e">
        <f>IF((COUNTIF('Кат-Итог'!$F$12:$F$25,'Кат-Итог'!$F24)-1)=0,RANK('Кат-Итог'!$F24,'Кат-Итог'!$F$12:$F$25,0),RANK('Кат-Итог'!$F24,'Кат-Итог'!$F$12:$F$25,0)&amp;"-"&amp;RANK('Кат-Итог'!$F24,'Кат-Итог'!$F$12:$F$25,0)+COUNTIF('Кат-Итог'!$F$12:$F$25,'Кат-Итог'!$F24)-1)</f>
        <v>#REF!</v>
      </c>
      <c r="I24" s="78" t="e">
        <f>100*'Кат-Итог'!$G24/MAX('Кат-Итог'!$G$12:$G$25)</f>
        <v>#REF!</v>
      </c>
      <c r="J24" s="76" t="e">
        <f>IF('Кат-Итог'!$I24&gt;=$Q$7,"1 разряд",IF('Кат-Итог'!$I24&gt;=$R$7,"2 разряд",IF('Кат-Итог'!$I24&gt;=$S$7,"3 разряд","")))</f>
        <v>#REF!</v>
      </c>
      <c r="K24" s="95" t="e">
        <f>'Кат-Итог'!$H24&lt;=VLOOKUP($P$5,т_вид_участия,2,0)</f>
        <v>#REF!</v>
      </c>
      <c r="L24" s="96" t="e">
        <f>IF('Кат-Итог'!$K24=FALSE,0,VLOOKUP('Кат-Итог'!$A24,#REF!,9,0))</f>
        <v>#REF!</v>
      </c>
      <c r="M24" s="91" t="e">
        <f>'Кат-Итог'!$G24+'Кат-Итог'!$D24</f>
        <v>#REF!</v>
      </c>
      <c r="N24" s="94" t="e">
        <f>SUM(--(FREQUENCY(('Кат-Итог'!$M$12:$M$25&gt;'Кат-Итог'!$M24)*'Кат-Итог'!$M$12:$M$25,'Кат-Итог'!$M$12:$M$25)&gt;0))</f>
        <v>#REF!</v>
      </c>
    </row>
    <row r="25" spans="1:14" s="14" customFormat="1" ht="15" customHeight="1">
      <c r="A25" s="174">
        <v>21</v>
      </c>
      <c r="B25" s="166">
        <f>_xlfn.IFERROR(VLOOKUP('Кат-Итог'!$A25,#REF!,2,0),0)</f>
        <v>0</v>
      </c>
      <c r="C25" s="161">
        <f>_xlfn.IFERROR(VLOOKUP('Кат-Итог'!$A25,#REF!,3,0),0)</f>
        <v>0</v>
      </c>
      <c r="D25" s="76" t="e">
        <f>VLOOKUP('Кат-Итог'!$A25,#REF!,27,0)</f>
        <v>#REF!</v>
      </c>
      <c r="E25" s="76" t="e">
        <f>VLOOKUP('Кат-Итог'!$A25,#REF!,16,0)</f>
        <v>#REF!</v>
      </c>
      <c r="F25" s="76" t="e">
        <f>RANK('Кат-Итог'!$D25,'Кат-Итог'!$D$12:$D$25,1)+RANK('Кат-Итог'!$G25,'Кат-Итог'!$G$12:$G$25,1)*1000</f>
        <v>#REF!</v>
      </c>
      <c r="G25" s="166" t="e">
        <f>SUM('Кат-Итог'!$D25,'Кат-Итог'!$E25)</f>
        <v>#REF!</v>
      </c>
      <c r="H25" s="93" t="e">
        <f>IF((COUNTIF('Кат-Итог'!$F$12:$F$25,'Кат-Итог'!$F25)-1)=0,RANK('Кат-Итог'!$F25,'Кат-Итог'!$F$12:$F$25,0),RANK('Кат-Итог'!$F25,'Кат-Итог'!$F$12:$F$25,0)&amp;"-"&amp;RANK('Кат-Итог'!$F25,'Кат-Итог'!$F$12:$F$25,0)+COUNTIF('Кат-Итог'!$F$12:$F$25,'Кат-Итог'!$F25)-1)</f>
        <v>#REF!</v>
      </c>
      <c r="I25" s="78" t="e">
        <f>100*'Кат-Итог'!$G25/MAX('Кат-Итог'!$G$12:$G$25)</f>
        <v>#REF!</v>
      </c>
      <c r="J25" s="76" t="e">
        <f>IF('Кат-Итог'!$I25&gt;=$Q$7,"1 разряд",IF('Кат-Итог'!$I25&gt;=$R$7,"2 разряд",IF('Кат-Итог'!$I25&gt;=$S$7,"3 разряд","")))</f>
        <v>#REF!</v>
      </c>
      <c r="K25" s="95" t="e">
        <f>'Кат-Итог'!$H25&lt;=VLOOKUP($P$5,т_вид_участия,2,0)</f>
        <v>#REF!</v>
      </c>
      <c r="L25" s="96" t="e">
        <f>IF('Кат-Итог'!$K25=FALSE,0,VLOOKUP('Кат-Итог'!$A25,#REF!,9,0))</f>
        <v>#REF!</v>
      </c>
      <c r="M25" s="91" t="e">
        <f>'Кат-Итог'!$G25+'Кат-Итог'!$D25</f>
        <v>#REF!</v>
      </c>
      <c r="N25" s="94" t="e">
        <f>SUM(--(FREQUENCY(('Кат-Итог'!$M$12:$M$25&gt;'Кат-Итог'!$M25)*'Кат-Итог'!$M$12:$M$25,'Кат-Итог'!$M$12:$M$25)&gt;0))</f>
        <v>#REF!</v>
      </c>
    </row>
    <row r="26" spans="1:12" ht="25.5" customHeight="1">
      <c r="A26" s="336" t="s">
        <v>158</v>
      </c>
      <c r="B26" s="337"/>
      <c r="C26" s="337"/>
      <c r="D26" s="337"/>
      <c r="E26" s="337"/>
      <c r="F26" s="338"/>
      <c r="G26" s="149" t="s">
        <v>44</v>
      </c>
      <c r="H26" s="321" t="e">
        <f>"Квалификационный ранг  - "&amp;P7</f>
        <v>#REF!</v>
      </c>
      <c r="I26" s="321"/>
      <c r="J26" s="321"/>
      <c r="K26" s="3"/>
      <c r="L26" s="3"/>
    </row>
    <row r="27" spans="1:12" ht="15" customHeight="1">
      <c r="A27" s="339"/>
      <c r="B27" s="340"/>
      <c r="C27" s="340"/>
      <c r="D27" s="340"/>
      <c r="E27" s="340"/>
      <c r="F27" s="341"/>
      <c r="G27" s="149" t="s">
        <v>11</v>
      </c>
      <c r="H27" s="342" t="e">
        <f>IF(Q7=0,"не присваивается",Q7&amp;" % от результата победителя")</f>
        <v>#REF!</v>
      </c>
      <c r="I27" s="342"/>
      <c r="J27" s="342"/>
      <c r="K27" s="29"/>
      <c r="L27" s="29"/>
    </row>
    <row r="28" spans="1:12" ht="15" customHeight="1">
      <c r="A28" s="26"/>
      <c r="B28" s="26"/>
      <c r="C28" s="27"/>
      <c r="D28" s="28"/>
      <c r="E28" s="25"/>
      <c r="F28" s="29"/>
      <c r="G28" s="149" t="s">
        <v>12</v>
      </c>
      <c r="H28" s="342" t="e">
        <f>IF(R7=0,"не присваивается",R7&amp;" % от результата победителя")</f>
        <v>#REF!</v>
      </c>
      <c r="I28" s="342"/>
      <c r="J28" s="342"/>
      <c r="K28" s="29"/>
      <c r="L28" s="29"/>
    </row>
    <row r="29" spans="1:12" ht="15" customHeight="1">
      <c r="A29" s="26"/>
      <c r="B29" s="26"/>
      <c r="C29" s="27"/>
      <c r="D29" s="28"/>
      <c r="E29" s="25"/>
      <c r="F29" s="29"/>
      <c r="G29" s="149" t="s">
        <v>13</v>
      </c>
      <c r="H29" s="343" t="e">
        <f>S7&amp;" % от результата победителя"</f>
        <v>#REF!</v>
      </c>
      <c r="I29" s="344"/>
      <c r="J29" s="345"/>
      <c r="K29" s="3"/>
      <c r="L29" s="3"/>
    </row>
    <row r="30" spans="1:12" ht="15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1"/>
      <c r="L30" s="1"/>
    </row>
    <row r="31" spans="1:10" ht="15.75">
      <c r="A31" s="326" t="s">
        <v>7</v>
      </c>
      <c r="B31" s="326"/>
      <c r="C31" s="326"/>
      <c r="D31" s="304"/>
      <c r="E31" s="304"/>
      <c r="G31" s="10"/>
      <c r="H31" s="14"/>
      <c r="I31" s="54" t="s">
        <v>31</v>
      </c>
      <c r="J31" s="14"/>
    </row>
    <row r="32" spans="1:10" ht="15.75">
      <c r="A32" s="326" t="s">
        <v>6</v>
      </c>
      <c r="B32" s="326"/>
      <c r="C32" s="326"/>
      <c r="D32" s="55"/>
      <c r="E32" s="55"/>
      <c r="F32" s="11"/>
      <c r="G32" s="11"/>
      <c r="H32" s="14"/>
      <c r="I32" s="12" t="s">
        <v>163</v>
      </c>
      <c r="J32" s="12"/>
    </row>
    <row r="33" spans="1:10" ht="15">
      <c r="A33" s="303" t="e">
        <f>дата_протокол</f>
        <v>#REF!</v>
      </c>
      <c r="B33" s="303"/>
      <c r="C33" s="303"/>
      <c r="D33" s="304"/>
      <c r="E33" s="304"/>
      <c r="H33" s="14"/>
      <c r="I33" s="14"/>
      <c r="J33" s="14"/>
    </row>
    <row r="34" spans="1:10" ht="15">
      <c r="A34" s="14"/>
      <c r="B34" s="14"/>
      <c r="C34" s="14"/>
      <c r="D34" s="14"/>
      <c r="E34" s="14"/>
      <c r="F34" s="14"/>
      <c r="G34" s="14"/>
      <c r="H34" s="14"/>
      <c r="I34" s="14"/>
      <c r="J34" s="14"/>
    </row>
    <row r="35" spans="1:10" ht="15">
      <c r="A35" s="14"/>
      <c r="B35" s="14"/>
      <c r="C35" s="14"/>
      <c r="D35" s="14"/>
      <c r="E35" s="14"/>
      <c r="F35" s="14"/>
      <c r="H35" s="14"/>
      <c r="I35" s="14"/>
      <c r="J35" s="14"/>
    </row>
    <row r="36" spans="1:10" ht="15">
      <c r="A36" s="14"/>
      <c r="B36" s="14"/>
      <c r="H36" s="14"/>
      <c r="I36" s="14"/>
      <c r="J36" s="14"/>
    </row>
    <row r="37" spans="1:10" ht="15">
      <c r="A37" s="55"/>
      <c r="B37" s="55"/>
      <c r="G37" s="55"/>
      <c r="H37" s="55"/>
      <c r="I37" s="55"/>
      <c r="J37" s="55"/>
    </row>
    <row r="38" spans="1:10" ht="15">
      <c r="A38" s="14"/>
      <c r="B38" s="14"/>
      <c r="C38" s="14"/>
      <c r="D38" s="14"/>
      <c r="E38" s="14"/>
      <c r="F38" s="14"/>
      <c r="G38" s="14"/>
      <c r="H38" s="14"/>
      <c r="I38" s="14"/>
      <c r="J38" s="14"/>
    </row>
    <row r="39" spans="1:10" ht="15">
      <c r="A39" s="14"/>
      <c r="B39" s="14"/>
      <c r="J39" s="14"/>
    </row>
    <row r="40" spans="1:13" ht="15">
      <c r="A40" s="14"/>
      <c r="B40" s="14"/>
      <c r="K40" s="14"/>
      <c r="L40" s="14"/>
      <c r="M40" s="14"/>
    </row>
    <row r="41" spans="1:13" ht="15">
      <c r="A41" s="14"/>
      <c r="B41" s="14"/>
      <c r="G41" s="14"/>
      <c r="K41" s="14"/>
      <c r="L41" s="14"/>
      <c r="M41" s="14"/>
    </row>
    <row r="42" spans="1:13" ht="15">
      <c r="A42" s="14"/>
      <c r="B42" s="14"/>
      <c r="G42" s="14"/>
      <c r="H42" s="14"/>
      <c r="I42" s="14"/>
      <c r="J42" s="14"/>
      <c r="K42" s="14"/>
      <c r="L42" s="14"/>
      <c r="M42" s="14"/>
    </row>
    <row r="43" spans="1:13" ht="15">
      <c r="A43" s="14"/>
      <c r="B43" s="14"/>
      <c r="G43" s="14"/>
      <c r="H43" s="14"/>
      <c r="I43" s="14"/>
      <c r="J43" s="14"/>
      <c r="K43" s="14"/>
      <c r="L43" s="14"/>
      <c r="M43" s="14"/>
    </row>
    <row r="44" spans="1:13" ht="15">
      <c r="A44" s="14"/>
      <c r="B44" s="14"/>
      <c r="H44" s="14"/>
      <c r="I44" s="14"/>
      <c r="J44" s="14"/>
      <c r="K44" s="14"/>
      <c r="L44" s="14"/>
      <c r="M44" s="14"/>
    </row>
    <row r="45" spans="1:13" ht="15">
      <c r="A45" s="14"/>
      <c r="B45" s="14"/>
      <c r="H45" s="14"/>
      <c r="I45" s="14"/>
      <c r="J45" s="14"/>
      <c r="K45" s="14"/>
      <c r="L45" s="14"/>
      <c r="M45" s="14"/>
    </row>
    <row r="46" spans="7:13" ht="15">
      <c r="G46" s="14"/>
      <c r="H46" s="14"/>
      <c r="I46" s="14"/>
      <c r="J46" s="14"/>
      <c r="K46" s="14"/>
      <c r="L46" s="14"/>
      <c r="M46" s="14"/>
    </row>
    <row r="47" spans="5:13" ht="15">
      <c r="E47" s="14"/>
      <c r="F47" s="14"/>
      <c r="G47" s="14"/>
      <c r="H47" s="14"/>
      <c r="I47" s="14"/>
      <c r="J47" s="14"/>
      <c r="K47" s="14"/>
      <c r="L47" s="14"/>
      <c r="M47" s="14"/>
    </row>
    <row r="48" spans="5:13" ht="15">
      <c r="E48" s="14"/>
      <c r="F48" s="14"/>
      <c r="G48" s="14"/>
      <c r="H48" s="14"/>
      <c r="I48" s="14"/>
      <c r="J48" s="14"/>
      <c r="K48" s="14"/>
      <c r="L48" s="14"/>
      <c r="M48" s="14"/>
    </row>
    <row r="49" spans="5:13" ht="15">
      <c r="E49" s="14"/>
      <c r="F49" s="14"/>
      <c r="G49" s="14"/>
      <c r="H49" s="14"/>
      <c r="I49" s="14"/>
      <c r="J49" s="14"/>
      <c r="K49" s="14"/>
      <c r="L49" s="14"/>
      <c r="M49" s="14"/>
    </row>
    <row r="50" spans="5:13" ht="15">
      <c r="E50" s="14"/>
      <c r="F50" s="14"/>
      <c r="G50" s="14"/>
      <c r="H50" s="14"/>
      <c r="I50" s="14"/>
      <c r="J50" s="14"/>
      <c r="K50" s="14"/>
      <c r="L50" s="14"/>
      <c r="M50" s="14"/>
    </row>
    <row r="51" spans="5:13" ht="15">
      <c r="E51" s="14"/>
      <c r="F51" s="14"/>
      <c r="G51" s="14"/>
      <c r="H51" s="14"/>
      <c r="I51" s="14"/>
      <c r="J51" s="14"/>
      <c r="K51" s="14"/>
      <c r="L51" s="14"/>
      <c r="M51" s="14"/>
    </row>
    <row r="52" spans="5:13" ht="15">
      <c r="E52" s="14"/>
      <c r="F52" s="14"/>
      <c r="G52" s="14"/>
      <c r="H52" s="14"/>
      <c r="I52" s="14"/>
      <c r="J52" s="14"/>
      <c r="K52" s="14"/>
      <c r="L52" s="14"/>
      <c r="M52" s="14"/>
    </row>
    <row r="53" spans="7:13" ht="15">
      <c r="G53" s="14"/>
      <c r="H53" s="14"/>
      <c r="I53" s="14"/>
      <c r="J53" s="14"/>
      <c r="K53" s="14"/>
      <c r="L53" s="14"/>
      <c r="M53" s="14"/>
    </row>
    <row r="54" spans="7:13" ht="15">
      <c r="G54" s="14"/>
      <c r="H54" s="14"/>
      <c r="I54" s="14"/>
      <c r="J54" s="14"/>
      <c r="K54" s="14"/>
      <c r="L54" s="14"/>
      <c r="M54" s="14"/>
    </row>
  </sheetData>
  <sheetProtection/>
  <mergeCells count="23">
    <mergeCell ref="D4:J4"/>
    <mergeCell ref="D3:J3"/>
    <mergeCell ref="D1:J2"/>
    <mergeCell ref="B1:C2"/>
    <mergeCell ref="B3:C3"/>
    <mergeCell ref="B4:C4"/>
    <mergeCell ref="D5:J5"/>
    <mergeCell ref="D6:J6"/>
    <mergeCell ref="D7:J7"/>
    <mergeCell ref="B5:C5"/>
    <mergeCell ref="B6:C6"/>
    <mergeCell ref="B7:C7"/>
    <mergeCell ref="A33:C33"/>
    <mergeCell ref="D33:E33"/>
    <mergeCell ref="A10:J10"/>
    <mergeCell ref="A26:F27"/>
    <mergeCell ref="H26:J26"/>
    <mergeCell ref="H27:J27"/>
    <mergeCell ref="H28:J28"/>
    <mergeCell ref="H29:J29"/>
    <mergeCell ref="A31:C31"/>
    <mergeCell ref="D31:E31"/>
    <mergeCell ref="A32:C32"/>
  </mergeCells>
  <dataValidations count="5">
    <dataValidation type="list" allowBlank="1" showInputMessage="1" showErrorMessage="1" sqref="P2">
      <formula1>дистанцииБаллы</formula1>
    </dataValidation>
    <dataValidation type="list" allowBlank="1" showInputMessage="1" showErrorMessage="1" sqref="P5">
      <formula1>вид_участия</formula1>
    </dataValidation>
    <dataValidation type="time" operator="greaterThanOrEqual" allowBlank="1" showInputMessage="1" showErrorMessage="1" sqref="D12:D25 E12:F12">
      <formula1>0</formula1>
    </dataValidation>
    <dataValidation type="whole" operator="greaterThan" allowBlank="1" showErrorMessage="1" errorTitle="Внимание!" error="Данные в этой ячейке должны быть целым числом без любых дополнительных знаков." sqref="B13:B25 A21:A25">
      <formula1>0</formula1>
    </dataValidation>
    <dataValidation type="list" allowBlank="1" showInputMessage="1" showErrorMessage="1" sqref="K4:L4 D4">
      <formula1>дисциплины</formula1>
    </dataValidation>
  </dataValidations>
  <printOptions/>
  <pageMargins left="0.5905511811023623" right="0.5905511811023623" top="0.5905511811023623" bottom="0.5905511811023623" header="0" footer="0"/>
  <pageSetup fitToHeight="1" fitToWidth="1" horizontalDpi="300" verticalDpi="300" orientation="landscape" paperSize="9" scale="85" r:id="rId5"/>
  <drawing r:id="rId4"/>
  <legacyDrawing r:id="rId2"/>
  <tableParts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F29"/>
  <sheetViews>
    <sheetView zoomScalePageLayoutView="0" workbookViewId="0" topLeftCell="A1">
      <selection activeCell="Q23" sqref="Q23"/>
    </sheetView>
  </sheetViews>
  <sheetFormatPr defaultColWidth="9.140625" defaultRowHeight="15" outlineLevelCol="1"/>
  <cols>
    <col min="1" max="1" width="8.57421875" style="111" customWidth="1"/>
    <col min="2" max="2" width="7.8515625" style="111" customWidth="1"/>
    <col min="3" max="3" width="36.28125" style="111" customWidth="1"/>
    <col min="4" max="5" width="11.7109375" style="111" customWidth="1"/>
    <col min="6" max="6" width="7.421875" style="111" hidden="1" customWidth="1" outlineLevel="1"/>
    <col min="7" max="7" width="11.7109375" style="125" bestFit="1" customWidth="1" collapsed="1"/>
    <col min="8" max="8" width="5.8515625" style="111" hidden="1" customWidth="1" outlineLevel="1"/>
    <col min="9" max="9" width="6.28125" style="111" customWidth="1" collapsed="1"/>
    <col min="10" max="16" width="5.28125" style="111" customWidth="1"/>
    <col min="17" max="17" width="5.28125" style="111" hidden="1" customWidth="1"/>
    <col min="18" max="27" width="5.28125" style="111" customWidth="1"/>
    <col min="28" max="28" width="5.28125" style="111" hidden="1" customWidth="1"/>
    <col min="29" max="29" width="8.421875" style="111" customWidth="1"/>
    <col min="30" max="30" width="9.57421875" style="111" customWidth="1"/>
    <col min="31" max="31" width="10.00390625" style="111" customWidth="1"/>
    <col min="32" max="16384" width="9.140625" style="111" customWidth="1"/>
  </cols>
  <sheetData>
    <row r="1" spans="1:31" ht="26.25" customHeight="1">
      <c r="A1" s="80"/>
      <c r="B1" s="288"/>
      <c r="C1" s="288"/>
      <c r="D1" s="289" t="s">
        <v>157</v>
      </c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  <c r="T1" s="290"/>
      <c r="U1" s="290"/>
      <c r="V1" s="290"/>
      <c r="W1" s="290"/>
      <c r="X1" s="290"/>
      <c r="Y1" s="290"/>
      <c r="Z1" s="290"/>
      <c r="AA1" s="290"/>
      <c r="AB1" s="290"/>
      <c r="AC1" s="290"/>
      <c r="AD1" s="290"/>
      <c r="AE1" s="291"/>
    </row>
    <row r="2" spans="1:31" ht="22.5" customHeight="1">
      <c r="A2" s="81"/>
      <c r="B2" s="288"/>
      <c r="C2" s="288"/>
      <c r="D2" s="292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W2" s="293"/>
      <c r="X2" s="293"/>
      <c r="Y2" s="293"/>
      <c r="Z2" s="293"/>
      <c r="AA2" s="293"/>
      <c r="AB2" s="293"/>
      <c r="AC2" s="293"/>
      <c r="AD2" s="293"/>
      <c r="AE2" s="294"/>
    </row>
    <row r="3" spans="2:31" ht="15.75" customHeight="1">
      <c r="B3" s="295" t="s">
        <v>1</v>
      </c>
      <c r="C3" s="296"/>
      <c r="D3" s="297" t="e">
        <f>РангСоревнований</f>
        <v>#REF!</v>
      </c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97"/>
      <c r="R3" s="297"/>
      <c r="S3" s="297"/>
      <c r="T3" s="297"/>
      <c r="U3" s="297"/>
      <c r="V3" s="297"/>
      <c r="W3" s="297"/>
      <c r="X3" s="297"/>
      <c r="Y3" s="297"/>
      <c r="Z3" s="297"/>
      <c r="AA3" s="297"/>
      <c r="AB3" s="297"/>
      <c r="AC3" s="297"/>
      <c r="AD3" s="297"/>
      <c r="AE3" s="297"/>
    </row>
    <row r="4" spans="2:31" ht="15.75" customHeight="1">
      <c r="B4" s="298" t="s">
        <v>2</v>
      </c>
      <c r="C4" s="299"/>
      <c r="D4" s="300" t="s">
        <v>49</v>
      </c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1"/>
      <c r="P4" s="301"/>
      <c r="Q4" s="301"/>
      <c r="R4" s="301"/>
      <c r="S4" s="301"/>
      <c r="T4" s="301"/>
      <c r="U4" s="301"/>
      <c r="V4" s="301"/>
      <c r="W4" s="301"/>
      <c r="X4" s="301"/>
      <c r="Y4" s="301"/>
      <c r="Z4" s="301"/>
      <c r="AA4" s="301"/>
      <c r="AB4" s="301"/>
      <c r="AC4" s="301"/>
      <c r="AD4" s="301"/>
      <c r="AE4" s="302"/>
    </row>
    <row r="5" spans="2:31" ht="15.75" customHeight="1">
      <c r="B5" s="298" t="s">
        <v>3</v>
      </c>
      <c r="C5" s="299"/>
      <c r="D5" s="305" t="s">
        <v>169</v>
      </c>
      <c r="E5" s="305"/>
      <c r="F5" s="305"/>
      <c r="G5" s="305"/>
      <c r="H5" s="305"/>
      <c r="I5" s="305"/>
      <c r="J5" s="305"/>
      <c r="K5" s="305"/>
      <c r="L5" s="305"/>
      <c r="M5" s="305"/>
      <c r="N5" s="305"/>
      <c r="O5" s="305"/>
      <c r="P5" s="305"/>
      <c r="Q5" s="305"/>
      <c r="R5" s="305"/>
      <c r="S5" s="305"/>
      <c r="T5" s="305"/>
      <c r="U5" s="305"/>
      <c r="V5" s="305"/>
      <c r="W5" s="305"/>
      <c r="X5" s="305"/>
      <c r="Y5" s="305"/>
      <c r="Z5" s="305"/>
      <c r="AA5" s="305"/>
      <c r="AB5" s="305"/>
      <c r="AC5" s="305"/>
      <c r="AD5" s="305"/>
      <c r="AE5" s="305"/>
    </row>
    <row r="6" spans="2:31" ht="15.75" customHeight="1">
      <c r="B6" s="298" t="s">
        <v>4</v>
      </c>
      <c r="C6" s="299"/>
      <c r="D6" s="306"/>
      <c r="E6" s="306"/>
      <c r="F6" s="306"/>
      <c r="G6" s="306"/>
      <c r="H6" s="306"/>
      <c r="I6" s="306"/>
      <c r="J6" s="306"/>
      <c r="K6" s="306"/>
      <c r="L6" s="306"/>
      <c r="M6" s="306"/>
      <c r="N6" s="306"/>
      <c r="O6" s="306"/>
      <c r="P6" s="306"/>
      <c r="Q6" s="306"/>
      <c r="R6" s="306"/>
      <c r="S6" s="306"/>
      <c r="T6" s="306"/>
      <c r="U6" s="306"/>
      <c r="V6" s="306"/>
      <c r="W6" s="306"/>
      <c r="X6" s="306"/>
      <c r="Y6" s="306"/>
      <c r="Z6" s="306"/>
      <c r="AA6" s="306"/>
      <c r="AB6" s="306"/>
      <c r="AC6" s="306"/>
      <c r="AD6" s="306"/>
      <c r="AE6" s="306"/>
    </row>
    <row r="7" spans="2:31" ht="15.75" customHeight="1">
      <c r="B7" s="298" t="s">
        <v>5</v>
      </c>
      <c r="C7" s="299"/>
      <c r="D7" s="306"/>
      <c r="E7" s="306"/>
      <c r="F7" s="306"/>
      <c r="G7" s="306"/>
      <c r="H7" s="306"/>
      <c r="I7" s="306"/>
      <c r="J7" s="306"/>
      <c r="K7" s="306"/>
      <c r="L7" s="306"/>
      <c r="M7" s="306"/>
      <c r="N7" s="306"/>
      <c r="O7" s="306"/>
      <c r="P7" s="306"/>
      <c r="Q7" s="306"/>
      <c r="R7" s="306"/>
      <c r="S7" s="306"/>
      <c r="T7" s="306"/>
      <c r="U7" s="306"/>
      <c r="V7" s="306"/>
      <c r="W7" s="306"/>
      <c r="X7" s="306"/>
      <c r="Y7" s="306"/>
      <c r="Z7" s="306"/>
      <c r="AA7" s="306"/>
      <c r="AB7" s="306"/>
      <c r="AC7" s="306"/>
      <c r="AD7" s="306"/>
      <c r="AE7" s="306"/>
    </row>
    <row r="8" spans="1:31" ht="15">
      <c r="A8" s="1"/>
      <c r="B8" s="1"/>
      <c r="C8" s="1"/>
      <c r="D8" s="1"/>
      <c r="E8" s="1"/>
      <c r="F8" s="1"/>
      <c r="G8" s="122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2:31" ht="15.75">
      <c r="B9" s="307" t="s">
        <v>139</v>
      </c>
      <c r="C9" s="307"/>
      <c r="D9" s="307"/>
      <c r="E9" s="307"/>
      <c r="F9" s="307"/>
      <c r="G9" s="307"/>
      <c r="H9" s="307"/>
      <c r="I9" s="307"/>
      <c r="J9" s="307"/>
      <c r="K9" s="307"/>
      <c r="L9" s="307"/>
      <c r="M9" s="307"/>
      <c r="N9" s="307"/>
      <c r="O9" s="307"/>
      <c r="P9" s="307"/>
      <c r="Q9" s="307"/>
      <c r="R9" s="307"/>
      <c r="S9" s="307"/>
      <c r="T9" s="307"/>
      <c r="U9" s="307"/>
      <c r="V9" s="307"/>
      <c r="W9" s="307"/>
      <c r="X9" s="307"/>
      <c r="Y9" s="307"/>
      <c r="Z9" s="307"/>
      <c r="AA9" s="307"/>
      <c r="AB9" s="307"/>
      <c r="AC9" s="307"/>
      <c r="AD9" s="307"/>
      <c r="AE9" s="307"/>
    </row>
    <row r="10" spans="1:31" ht="20.25" customHeight="1">
      <c r="A10" s="83"/>
      <c r="B10" s="308"/>
      <c r="C10" s="309"/>
      <c r="D10" s="309"/>
      <c r="E10" s="309"/>
      <c r="F10" s="309"/>
      <c r="G10" s="310"/>
      <c r="H10" s="84"/>
      <c r="I10" s="311" t="s">
        <v>194</v>
      </c>
      <c r="J10" s="312"/>
      <c r="K10" s="312"/>
      <c r="L10" s="312"/>
      <c r="M10" s="312"/>
      <c r="N10" s="312"/>
      <c r="O10" s="312"/>
      <c r="P10" s="312"/>
      <c r="Q10" s="312"/>
      <c r="R10" s="312"/>
      <c r="S10" s="312"/>
      <c r="T10" s="312"/>
      <c r="U10" s="312"/>
      <c r="V10" s="312"/>
      <c r="W10" s="312"/>
      <c r="X10" s="312"/>
      <c r="Y10" s="312"/>
      <c r="Z10" s="312"/>
      <c r="AA10" s="312"/>
      <c r="AB10" s="313"/>
      <c r="AC10" s="311" t="s">
        <v>34</v>
      </c>
      <c r="AD10" s="313"/>
      <c r="AE10" s="180"/>
    </row>
    <row r="11" spans="1:31" ht="77.25" customHeight="1">
      <c r="A11" s="79" t="s">
        <v>154</v>
      </c>
      <c r="B11" s="15" t="s">
        <v>39</v>
      </c>
      <c r="C11" s="60" t="s">
        <v>41</v>
      </c>
      <c r="D11" s="40" t="s">
        <v>37</v>
      </c>
      <c r="E11" s="40" t="s">
        <v>36</v>
      </c>
      <c r="F11" s="40" t="s">
        <v>35</v>
      </c>
      <c r="G11" s="128" t="s">
        <v>149</v>
      </c>
      <c r="H11" s="61" t="s">
        <v>38</v>
      </c>
      <c r="I11" s="38" t="s">
        <v>17</v>
      </c>
      <c r="J11" s="38" t="s">
        <v>16</v>
      </c>
      <c r="K11" s="38" t="s">
        <v>19</v>
      </c>
      <c r="L11" s="38" t="s">
        <v>15</v>
      </c>
      <c r="M11" s="38" t="s">
        <v>30</v>
      </c>
      <c r="N11" s="38" t="s">
        <v>20</v>
      </c>
      <c r="O11" s="38" t="s">
        <v>26</v>
      </c>
      <c r="P11" s="38" t="s">
        <v>141</v>
      </c>
      <c r="Q11" s="38" t="s">
        <v>21</v>
      </c>
      <c r="R11" s="38" t="s">
        <v>29</v>
      </c>
      <c r="S11" s="38" t="s">
        <v>27</v>
      </c>
      <c r="T11" s="38" t="s">
        <v>25</v>
      </c>
      <c r="U11" s="38" t="s">
        <v>18</v>
      </c>
      <c r="V11" s="38" t="s">
        <v>140</v>
      </c>
      <c r="W11" s="38" t="s">
        <v>22</v>
      </c>
      <c r="X11" s="38" t="s">
        <v>23</v>
      </c>
      <c r="Y11" s="38" t="s">
        <v>24</v>
      </c>
      <c r="Z11" s="38" t="s">
        <v>184</v>
      </c>
      <c r="AA11" s="38" t="s">
        <v>192</v>
      </c>
      <c r="AB11" s="38" t="s">
        <v>193</v>
      </c>
      <c r="AC11" s="15" t="s">
        <v>9</v>
      </c>
      <c r="AD11" s="19" t="s">
        <v>32</v>
      </c>
      <c r="AE11" s="20" t="s">
        <v>150</v>
      </c>
    </row>
    <row r="12" spans="1:31" ht="18" customHeight="1">
      <c r="A12" s="173"/>
      <c r="B12" s="16">
        <f>_xlfn.IFERROR(VLOOKUP('КаякЖ-1п'!$A12,#REF!,2,0),0)</f>
        <v>0</v>
      </c>
      <c r="C12" s="71">
        <f>_xlfn.IFERROR(VLOOKUP('КаякЖ-1п'!$A12,#REF!,3,0),0)</f>
        <v>0</v>
      </c>
      <c r="D12" s="37">
        <v>0</v>
      </c>
      <c r="E12" s="37">
        <v>0</v>
      </c>
      <c r="F12" s="37"/>
      <c r="G12" s="73">
        <f>'КаякЖ-1п'!$E12-'КаякЖ-1п'!$D12</f>
        <v>0</v>
      </c>
      <c r="H12" s="16">
        <f>IF(TYPE(H11)=1,IF(H11=1,2,1),1)</f>
        <v>1</v>
      </c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16">
        <f>SUM('КаякЖ-1п'!$I12:$AB12)</f>
        <v>0</v>
      </c>
      <c r="AD12" s="7" t="e">
        <f>'КаякЖ-1п'!$AC12*ЦенаБалла</f>
        <v>#REF!</v>
      </c>
      <c r="AE12" s="6" t="e">
        <f>'КаякЖ-1п'!$G12+'КаякЖ-1п'!$AD12</f>
        <v>#REF!</v>
      </c>
    </row>
    <row r="13" spans="1:31" ht="15.75">
      <c r="A13" s="173"/>
      <c r="B13" s="16">
        <f>_xlfn.IFERROR(VLOOKUP('КаякЖ-1п'!$A13,#REF!,2,0),0)</f>
        <v>0</v>
      </c>
      <c r="C13" s="71">
        <f>_xlfn.IFERROR(VLOOKUP('КаякЖ-1п'!$A13,#REF!,3,0),0)</f>
        <v>0</v>
      </c>
      <c r="D13" s="37"/>
      <c r="E13" s="37"/>
      <c r="F13" s="37"/>
      <c r="G13" s="73">
        <f>'КаякЖ-1п'!$E13-'КаякЖ-1п'!$D13</f>
        <v>0</v>
      </c>
      <c r="H13" s="16">
        <f>IF(TYPE(H12)=1,IF(H12=1,2,1),1)</f>
        <v>2</v>
      </c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16">
        <f>SUM('КаякЖ-1п'!$I13:$AB13)</f>
        <v>0</v>
      </c>
      <c r="AD13" s="7" t="e">
        <f>'КаякЖ-1п'!$AC13*ЦенаБалла</f>
        <v>#REF!</v>
      </c>
      <c r="AE13" s="6" t="e">
        <f>'КаякЖ-1п'!$G13+'КаякЖ-1п'!$AD13</f>
        <v>#REF!</v>
      </c>
    </row>
    <row r="14" spans="1:31" ht="15.75">
      <c r="A14" s="173"/>
      <c r="B14" s="16">
        <f>_xlfn.IFERROR(VLOOKUP('КаякЖ-1п'!$A14,#REF!,2,0),0)</f>
        <v>0</v>
      </c>
      <c r="C14" s="71">
        <f>_xlfn.IFERROR(VLOOKUP('КаякЖ-1п'!$A14,#REF!,3,0),0)</f>
        <v>0</v>
      </c>
      <c r="D14" s="37"/>
      <c r="E14" s="37"/>
      <c r="F14" s="37"/>
      <c r="G14" s="73">
        <f>'КаякЖ-1п'!$E14-'КаякЖ-1п'!$D14</f>
        <v>0</v>
      </c>
      <c r="H14" s="16">
        <f>IF(TYPE(H13)=1,IF(H13=1,2,1),1)</f>
        <v>1</v>
      </c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16">
        <f>SUM('КаякЖ-1п'!$I14:$AB14)</f>
        <v>0</v>
      </c>
      <c r="AD14" s="7" t="e">
        <f>'КаякЖ-1п'!$AC14*ЦенаБалла</f>
        <v>#REF!</v>
      </c>
      <c r="AE14" s="6" t="e">
        <f>'КаякЖ-1п'!$G14+'КаякЖ-1п'!$AD14</f>
        <v>#REF!</v>
      </c>
    </row>
    <row r="15" spans="1:31" ht="15.75">
      <c r="A15" s="173"/>
      <c r="B15" s="16">
        <f>_xlfn.IFERROR(VLOOKUP('КаякЖ-1п'!$A15,#REF!,2,0),0)</f>
        <v>0</v>
      </c>
      <c r="C15" s="71">
        <f>_xlfn.IFERROR(VLOOKUP('КаякЖ-1п'!$A15,#REF!,3,0),0)</f>
        <v>0</v>
      </c>
      <c r="D15" s="37"/>
      <c r="E15" s="37"/>
      <c r="F15" s="37"/>
      <c r="G15" s="73">
        <f>'КаякЖ-1п'!$E15-'КаякЖ-1п'!$D15</f>
        <v>0</v>
      </c>
      <c r="H15" s="16">
        <f>IF(TYPE(H14)=1,IF(H14=1,2,1),1)</f>
        <v>2</v>
      </c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16">
        <f>SUM('КаякЖ-1п'!$I15:$AB15)</f>
        <v>0</v>
      </c>
      <c r="AD15" s="7" t="e">
        <f>'КаякЖ-1п'!$AC15*ЦенаБалла</f>
        <v>#REF!</v>
      </c>
      <c r="AE15" s="6" t="e">
        <f>'КаякЖ-1п'!$G15+'КаякЖ-1п'!$AD15</f>
        <v>#REF!</v>
      </c>
    </row>
    <row r="16" spans="1:31" ht="15.75">
      <c r="A16" s="173"/>
      <c r="B16" s="16">
        <f>_xlfn.IFERROR(VLOOKUP('КаякЖ-1п'!$A16,#REF!,2,0),0)</f>
        <v>0</v>
      </c>
      <c r="C16" s="71">
        <f>_xlfn.IFERROR(VLOOKUP('КаякЖ-1п'!$A16,#REF!,3,0),0)</f>
        <v>0</v>
      </c>
      <c r="D16" s="37"/>
      <c r="E16" s="37"/>
      <c r="F16" s="37"/>
      <c r="G16" s="73">
        <f>'КаякЖ-1п'!$E16-'КаякЖ-1п'!$D16</f>
        <v>0</v>
      </c>
      <c r="H16" s="16">
        <f>IF(TYPE(#REF!)=1,IF(#REF!=1,2,1),1)</f>
        <v>1</v>
      </c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16">
        <f>SUM('КаякЖ-1п'!$I16:$AB16)</f>
        <v>0</v>
      </c>
      <c r="AD16" s="7" t="e">
        <f>'КаякЖ-1п'!$AC16*ЦенаБалла</f>
        <v>#REF!</v>
      </c>
      <c r="AE16" s="6" t="e">
        <f>'КаякЖ-1п'!$G16+'КаякЖ-1п'!$AD16</f>
        <v>#REF!</v>
      </c>
    </row>
    <row r="17" spans="1:31" ht="15.75">
      <c r="A17" s="173"/>
      <c r="B17" s="16">
        <f>_xlfn.IFERROR(VLOOKUP('КаякЖ-1п'!$A17,#REF!,2,0),0)</f>
        <v>0</v>
      </c>
      <c r="C17" s="71">
        <f>_xlfn.IFERROR(VLOOKUP('КаякЖ-1п'!$A17,#REF!,3,0),0)</f>
        <v>0</v>
      </c>
      <c r="D17" s="37"/>
      <c r="E17" s="37"/>
      <c r="F17" s="37"/>
      <c r="G17" s="73">
        <f>'КаякЖ-1п'!$E17-'КаякЖ-1п'!$D17</f>
        <v>0</v>
      </c>
      <c r="H17" s="16">
        <f aca="true" t="shared" si="0" ref="H17:H26">IF(TYPE(H16)=1,IF(H16=1,2,1),1)</f>
        <v>2</v>
      </c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16">
        <f>SUM('КаякЖ-1п'!$I17:$AB17)</f>
        <v>0</v>
      </c>
      <c r="AD17" s="7" t="e">
        <f>'КаякЖ-1п'!$AC17*ЦенаБалла</f>
        <v>#REF!</v>
      </c>
      <c r="AE17" s="6" t="e">
        <f>'КаякЖ-1п'!$G17+'КаякЖ-1п'!$AD17</f>
        <v>#REF!</v>
      </c>
    </row>
    <row r="18" spans="1:31" ht="15.75">
      <c r="A18" s="173"/>
      <c r="B18" s="16">
        <f>_xlfn.IFERROR(VLOOKUP('КаякЖ-1п'!$A18,#REF!,2,0),0)</f>
        <v>0</v>
      </c>
      <c r="C18" s="71">
        <f>_xlfn.IFERROR(VLOOKUP('КаякЖ-1п'!$A18,#REF!,3,0),0)</f>
        <v>0</v>
      </c>
      <c r="D18" s="37"/>
      <c r="E18" s="37"/>
      <c r="F18" s="37"/>
      <c r="G18" s="73">
        <f>'КаякЖ-1п'!$E18-'КаякЖ-1п'!$D18</f>
        <v>0</v>
      </c>
      <c r="H18" s="16">
        <f t="shared" si="0"/>
        <v>1</v>
      </c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16">
        <f>SUM('КаякЖ-1п'!$I18:$AB18)</f>
        <v>0</v>
      </c>
      <c r="AD18" s="7" t="e">
        <f>'КаякЖ-1п'!$AC18*ЦенаБалла</f>
        <v>#REF!</v>
      </c>
      <c r="AE18" s="6" t="e">
        <f>'КаякЖ-1п'!$G18+'КаякЖ-1п'!$AD18</f>
        <v>#REF!</v>
      </c>
    </row>
    <row r="19" spans="1:31" ht="15.75">
      <c r="A19" s="173"/>
      <c r="B19" s="110">
        <f>_xlfn.IFERROR(VLOOKUP('КаякЖ-1п'!$A19,#REF!,2,0),0)</f>
        <v>0</v>
      </c>
      <c r="C19" s="109">
        <f>_xlfn.IFERROR(VLOOKUP('КаякЖ-1п'!$A19,#REF!,3,0),0)</f>
        <v>0</v>
      </c>
      <c r="D19" s="37"/>
      <c r="E19" s="37"/>
      <c r="F19" s="37"/>
      <c r="G19" s="73">
        <f>'КаякЖ-1п'!$E19-'КаякЖ-1п'!$D19</f>
        <v>0</v>
      </c>
      <c r="H19" s="110">
        <f t="shared" si="0"/>
        <v>2</v>
      </c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107"/>
      <c r="AC19" s="110">
        <f>SUM('КаякЖ-1п'!$I19:$AB19)</f>
        <v>0</v>
      </c>
      <c r="AD19" s="106" t="e">
        <f>'КаякЖ-1п'!$AC19*ЦенаБалла</f>
        <v>#REF!</v>
      </c>
      <c r="AE19" s="117" t="e">
        <f>'КаякЖ-1п'!$G19+'КаякЖ-1п'!$AD19</f>
        <v>#REF!</v>
      </c>
    </row>
    <row r="20" spans="1:31" s="14" customFormat="1" ht="15" customHeight="1">
      <c r="A20" s="173"/>
      <c r="B20" s="18">
        <f>_xlfn.IFERROR(VLOOKUP('КаякЖ-1п'!$A20,#REF!,2,0),0)</f>
        <v>0</v>
      </c>
      <c r="C20" s="72">
        <f>_xlfn.IFERROR(VLOOKUP('КаякЖ-1п'!$A20,#REF!,3,0),0)</f>
        <v>0</v>
      </c>
      <c r="D20" s="37"/>
      <c r="E20" s="37"/>
      <c r="F20" s="37"/>
      <c r="G20" s="73">
        <f>'КаякЖ-1п'!$E20-'КаякЖ-1п'!$D20</f>
        <v>0</v>
      </c>
      <c r="H20" s="18">
        <f t="shared" si="0"/>
        <v>1</v>
      </c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18">
        <f>SUM('КаякЖ-1п'!$I20:$AB20)</f>
        <v>0</v>
      </c>
      <c r="AD20" s="17" t="e">
        <f>'КаякЖ-1п'!$AC20*ЦенаБалла</f>
        <v>#REF!</v>
      </c>
      <c r="AE20" s="7" t="e">
        <f>'КаякЖ-1п'!$G20+'КаякЖ-1п'!$AD20</f>
        <v>#REF!</v>
      </c>
    </row>
    <row r="21" spans="1:31" s="14" customFormat="1" ht="15" customHeight="1">
      <c r="A21" s="173"/>
      <c r="B21" s="16">
        <f>_xlfn.IFERROR(VLOOKUP('КаякЖ-1п'!$A21,#REF!,2,0),0)</f>
        <v>0</v>
      </c>
      <c r="C21" s="71">
        <f>_xlfn.IFERROR(VLOOKUP('КаякЖ-1п'!$A21,#REF!,3,0),0)</f>
        <v>0</v>
      </c>
      <c r="D21" s="37"/>
      <c r="E21" s="37"/>
      <c r="F21" s="37"/>
      <c r="G21" s="73">
        <f>'КаякЖ-1п'!$E21-'КаякЖ-1п'!$D21</f>
        <v>0</v>
      </c>
      <c r="H21" s="16">
        <f t="shared" si="0"/>
        <v>2</v>
      </c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16">
        <f>SUM('КаякЖ-1п'!$I21:$AB21)</f>
        <v>0</v>
      </c>
      <c r="AD21" s="17" t="e">
        <f>'КаякЖ-1п'!$AC21*ЦенаБалла</f>
        <v>#REF!</v>
      </c>
      <c r="AE21" s="6" t="e">
        <f>'КаякЖ-1п'!$G21+'КаякЖ-1п'!$AD21</f>
        <v>#REF!</v>
      </c>
    </row>
    <row r="22" spans="1:31" s="14" customFormat="1" ht="15" customHeight="1">
      <c r="A22" s="173"/>
      <c r="B22" s="110">
        <f>_xlfn.IFERROR(VLOOKUP('КаякЖ-1п'!$A22,#REF!,2,0),0)</f>
        <v>0</v>
      </c>
      <c r="C22" s="109">
        <f>_xlfn.IFERROR(VLOOKUP('КаякЖ-1п'!$A22,#REF!,3,0),0)</f>
        <v>0</v>
      </c>
      <c r="D22" s="37"/>
      <c r="E22" s="37"/>
      <c r="F22" s="108"/>
      <c r="G22" s="73">
        <f>'КаякЖ-1п'!$E22-'КаякЖ-1п'!$D22</f>
        <v>0</v>
      </c>
      <c r="H22" s="110">
        <f t="shared" si="0"/>
        <v>1</v>
      </c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107"/>
      <c r="AC22" s="110">
        <f>SUM('КаякЖ-1п'!$I22:$AB22)</f>
        <v>0</v>
      </c>
      <c r="AD22" s="106" t="e">
        <f>'КаякЖ-1п'!$AC22*ЦенаБалла</f>
        <v>#REF!</v>
      </c>
      <c r="AE22" s="117" t="e">
        <f>'КаякЖ-1п'!$G22+'КаякЖ-1п'!$AD22</f>
        <v>#REF!</v>
      </c>
    </row>
    <row r="23" spans="1:31" s="14" customFormat="1" ht="15.75">
      <c r="A23" s="183"/>
      <c r="B23" s="184">
        <f>_xlfn.IFERROR(VLOOKUP('КаякЖ-1п'!$A23,#REF!,2,0),0)</f>
        <v>0</v>
      </c>
      <c r="C23" s="186">
        <f>_xlfn.IFERROR(VLOOKUP('КаякЖ-1п'!$A23,#REF!,3,0),0)</f>
        <v>0</v>
      </c>
      <c r="D23" s="188"/>
      <c r="E23" s="188"/>
      <c r="F23" s="188"/>
      <c r="G23" s="194">
        <f>'КаякЖ-1п'!$E23-'КаякЖ-1п'!$D23</f>
        <v>0</v>
      </c>
      <c r="H23" s="185">
        <f t="shared" si="0"/>
        <v>2</v>
      </c>
      <c r="I23" s="190"/>
      <c r="J23" s="190"/>
      <c r="K23" s="190"/>
      <c r="L23" s="190"/>
      <c r="M23" s="190"/>
      <c r="N23" s="190"/>
      <c r="O23" s="190"/>
      <c r="P23" s="190"/>
      <c r="Q23" s="190"/>
      <c r="R23" s="190"/>
      <c r="S23" s="190"/>
      <c r="T23" s="190"/>
      <c r="U23" s="190"/>
      <c r="V23" s="191"/>
      <c r="W23" s="191"/>
      <c r="X23" s="191"/>
      <c r="Y23" s="191"/>
      <c r="Z23" s="191"/>
      <c r="AA23" s="191"/>
      <c r="AB23" s="191"/>
      <c r="AC23" s="185">
        <f>SUM('КаякЖ-1п'!$I23:$AB23)</f>
        <v>0</v>
      </c>
      <c r="AD23" s="192" t="e">
        <f>'КаякЖ-1п'!$AC23*ЦенаБалла</f>
        <v>#REF!</v>
      </c>
      <c r="AE23" s="193" t="e">
        <f>'КаякЖ-1п'!$G23+'КаякЖ-1п'!$AD23</f>
        <v>#REF!</v>
      </c>
    </row>
    <row r="24" spans="1:31" ht="15.75">
      <c r="A24" s="183"/>
      <c r="B24" s="185">
        <f>_xlfn.IFERROR(VLOOKUP('КаякЖ-1п'!$A24,#REF!,2,0),0)</f>
        <v>0</v>
      </c>
      <c r="C24" s="187">
        <f>_xlfn.IFERROR(VLOOKUP('КаякЖ-1п'!$A24,#REF!,3,0),0)</f>
        <v>0</v>
      </c>
      <c r="D24" s="189"/>
      <c r="E24" s="189"/>
      <c r="F24" s="189"/>
      <c r="G24" s="73">
        <f>'КаякЖ-1п'!$E24-'КаякЖ-1п'!$D24</f>
        <v>0</v>
      </c>
      <c r="H24" s="185">
        <f t="shared" si="0"/>
        <v>1</v>
      </c>
      <c r="I24" s="191"/>
      <c r="J24" s="191"/>
      <c r="K24" s="191"/>
      <c r="L24" s="191"/>
      <c r="M24" s="191"/>
      <c r="N24" s="191"/>
      <c r="O24" s="191"/>
      <c r="P24" s="191"/>
      <c r="Q24" s="191"/>
      <c r="R24" s="191"/>
      <c r="S24" s="191"/>
      <c r="T24" s="191"/>
      <c r="U24" s="191"/>
      <c r="V24" s="191"/>
      <c r="W24" s="191"/>
      <c r="X24" s="191"/>
      <c r="Y24" s="191"/>
      <c r="Z24" s="191"/>
      <c r="AA24" s="191"/>
      <c r="AB24" s="191"/>
      <c r="AC24" s="185">
        <f>SUM('КаякЖ-1п'!$I24:$AB24)</f>
        <v>0</v>
      </c>
      <c r="AD24" s="192" t="e">
        <f>'КаякЖ-1п'!$AC24*ЦенаБалла</f>
        <v>#REF!</v>
      </c>
      <c r="AE24" s="193" t="e">
        <f>'КаякЖ-1п'!$G24+'КаякЖ-1п'!$AD24</f>
        <v>#REF!</v>
      </c>
    </row>
    <row r="25" spans="1:31" ht="15.75">
      <c r="A25" s="183"/>
      <c r="B25" s="185">
        <f>_xlfn.IFERROR(VLOOKUP('КаякЖ-1п'!$A25,#REF!,2,0),0)</f>
        <v>0</v>
      </c>
      <c r="C25" s="187">
        <f>_xlfn.IFERROR(VLOOKUP('КаякЖ-1п'!$A25,#REF!,3,0),0)</f>
        <v>0</v>
      </c>
      <c r="D25" s="189"/>
      <c r="E25" s="189"/>
      <c r="F25" s="189"/>
      <c r="G25" s="73">
        <f>'КаякЖ-1п'!$E25-'КаякЖ-1п'!$D25</f>
        <v>0</v>
      </c>
      <c r="H25" s="185">
        <f t="shared" si="0"/>
        <v>2</v>
      </c>
      <c r="I25" s="191"/>
      <c r="J25" s="191"/>
      <c r="K25" s="191"/>
      <c r="L25" s="191"/>
      <c r="M25" s="191"/>
      <c r="N25" s="191"/>
      <c r="O25" s="191"/>
      <c r="P25" s="191"/>
      <c r="Q25" s="191"/>
      <c r="R25" s="191"/>
      <c r="S25" s="191"/>
      <c r="T25" s="191"/>
      <c r="U25" s="191"/>
      <c r="V25" s="191"/>
      <c r="W25" s="191"/>
      <c r="X25" s="191"/>
      <c r="Y25" s="191"/>
      <c r="Z25" s="191"/>
      <c r="AA25" s="191"/>
      <c r="AB25" s="191"/>
      <c r="AC25" s="185">
        <f>SUM('КаякЖ-1п'!$I25:$AB25)</f>
        <v>0</v>
      </c>
      <c r="AD25" s="192" t="e">
        <f>'КаякЖ-1п'!$AC25*ЦенаБалла</f>
        <v>#REF!</v>
      </c>
      <c r="AE25" s="193" t="e">
        <f>'КаякЖ-1п'!$G25+'КаякЖ-1п'!$AD25</f>
        <v>#REF!</v>
      </c>
    </row>
    <row r="26" spans="1:31" ht="15.75">
      <c r="A26" s="183"/>
      <c r="B26" s="185">
        <f>_xlfn.IFERROR(VLOOKUP('КаякЖ-1п'!$A26,#REF!,2,0),0)</f>
        <v>0</v>
      </c>
      <c r="C26" s="187">
        <f>_xlfn.IFERROR(VLOOKUP('КаякЖ-1п'!$A26,#REF!,3,0),0)</f>
        <v>0</v>
      </c>
      <c r="D26" s="189"/>
      <c r="E26" s="189"/>
      <c r="F26" s="189"/>
      <c r="G26" s="73">
        <f>'КаякЖ-1п'!$E26-'КаякЖ-1п'!$D26</f>
        <v>0</v>
      </c>
      <c r="H26" s="185">
        <f t="shared" si="0"/>
        <v>1</v>
      </c>
      <c r="I26" s="191"/>
      <c r="J26" s="191"/>
      <c r="K26" s="191"/>
      <c r="L26" s="191"/>
      <c r="M26" s="191"/>
      <c r="N26" s="191"/>
      <c r="O26" s="191"/>
      <c r="P26" s="191"/>
      <c r="Q26" s="191"/>
      <c r="R26" s="191"/>
      <c r="S26" s="191"/>
      <c r="T26" s="191"/>
      <c r="U26" s="191"/>
      <c r="V26" s="191"/>
      <c r="W26" s="191"/>
      <c r="X26" s="191"/>
      <c r="Y26" s="191"/>
      <c r="Z26" s="191"/>
      <c r="AA26" s="191"/>
      <c r="AB26" s="191"/>
      <c r="AC26" s="185">
        <f>SUM('КаякЖ-1п'!$I26:$AB26)</f>
        <v>0</v>
      </c>
      <c r="AD26" s="192" t="e">
        <f>'КаякЖ-1п'!$AC26*ЦенаБалла</f>
        <v>#REF!</v>
      </c>
      <c r="AE26" s="193" t="e">
        <f>'КаякЖ-1п'!$G26+'КаякЖ-1п'!$AD26</f>
        <v>#REF!</v>
      </c>
    </row>
    <row r="27" spans="2:32" ht="15.75">
      <c r="B27" s="82" t="s">
        <v>7</v>
      </c>
      <c r="C27" s="82"/>
      <c r="D27" s="304"/>
      <c r="E27" s="304"/>
      <c r="G27" s="123"/>
      <c r="H27" s="10"/>
      <c r="I27" s="14"/>
      <c r="J27" s="54" t="e">
        <f>фиосудья</f>
        <v>#REF!</v>
      </c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</row>
    <row r="28" spans="2:32" ht="15.75">
      <c r="B28" s="82" t="s">
        <v>6</v>
      </c>
      <c r="C28" s="82"/>
      <c r="D28" s="179"/>
      <c r="E28" s="179"/>
      <c r="F28" s="11"/>
      <c r="G28" s="124"/>
      <c r="H28" s="11"/>
      <c r="I28" s="14"/>
      <c r="J28" s="12" t="e">
        <f>фиосекретарь</f>
        <v>#REF!</v>
      </c>
      <c r="K28" s="12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</row>
    <row r="29" spans="2:11" ht="15">
      <c r="B29" s="303" t="e">
        <f>дата_протокол</f>
        <v>#REF!</v>
      </c>
      <c r="C29" s="303"/>
      <c r="D29" s="304"/>
      <c r="E29" s="304"/>
      <c r="I29" s="14"/>
      <c r="J29" s="14"/>
      <c r="K29" s="14"/>
    </row>
  </sheetData>
  <sheetProtection/>
  <mergeCells count="19">
    <mergeCell ref="B29:C29"/>
    <mergeCell ref="D29:E29"/>
    <mergeCell ref="B5:C5"/>
    <mergeCell ref="D5:AE5"/>
    <mergeCell ref="B6:C6"/>
    <mergeCell ref="D6:AE6"/>
    <mergeCell ref="B7:C7"/>
    <mergeCell ref="D7:AE7"/>
    <mergeCell ref="B9:AE9"/>
    <mergeCell ref="B10:G10"/>
    <mergeCell ref="I10:AB10"/>
    <mergeCell ref="AC10:AD10"/>
    <mergeCell ref="D27:E27"/>
    <mergeCell ref="B1:C2"/>
    <mergeCell ref="D1:AE2"/>
    <mergeCell ref="B3:C3"/>
    <mergeCell ref="D3:AE3"/>
    <mergeCell ref="B4:C4"/>
    <mergeCell ref="D4:AE4"/>
  </mergeCells>
  <dataValidations count="3">
    <dataValidation type="time" operator="greaterThanOrEqual" allowBlank="1" showInputMessage="1" showErrorMessage="1" sqref="E22:E26 G12:G26 D22:D23 D12:E21">
      <formula1>0</formula1>
    </dataValidation>
    <dataValidation type="list" allowBlank="1" showInputMessage="1" showErrorMessage="1" sqref="D4">
      <formula1>дисциплины</formula1>
    </dataValidation>
    <dataValidation type="whole" operator="greaterThan" allowBlank="1" showErrorMessage="1" errorTitle="Внимание!" error="Данные в этой ячейке должны быть целым числом без любых дополнительных знаков." sqref="B12:B26">
      <formula1>0</formula1>
    </dataValidation>
  </dataValidations>
  <printOptions/>
  <pageMargins left="0.5905511811023623" right="0.5905511811023623" top="0.5905511811023623" bottom="0.5905511811023623" header="0" footer="0"/>
  <pageSetup fitToHeight="1" fitToWidth="1" horizontalDpi="300" verticalDpi="300" orientation="landscape" paperSize="9" scale="67" r:id="rId5"/>
  <drawing r:id="rId4"/>
  <legacyDrawing r:id="rId2"/>
  <tableParts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F29"/>
  <sheetViews>
    <sheetView zoomScalePageLayoutView="0" workbookViewId="0" topLeftCell="A1">
      <selection activeCell="D5" sqref="D5:AE5"/>
    </sheetView>
  </sheetViews>
  <sheetFormatPr defaultColWidth="9.140625" defaultRowHeight="15" outlineLevelCol="1"/>
  <cols>
    <col min="1" max="1" width="8.57421875" style="111" customWidth="1"/>
    <col min="2" max="2" width="7.8515625" style="111" customWidth="1"/>
    <col min="3" max="3" width="36.28125" style="111" customWidth="1"/>
    <col min="4" max="5" width="11.7109375" style="111" customWidth="1"/>
    <col min="6" max="6" width="7.421875" style="111" hidden="1" customWidth="1" outlineLevel="1"/>
    <col min="7" max="7" width="11.7109375" style="125" bestFit="1" customWidth="1" collapsed="1"/>
    <col min="8" max="8" width="5.8515625" style="111" hidden="1" customWidth="1" outlineLevel="1"/>
    <col min="9" max="9" width="6.28125" style="111" customWidth="1" collapsed="1"/>
    <col min="10" max="16" width="5.28125" style="111" customWidth="1"/>
    <col min="17" max="17" width="5.28125" style="111" hidden="1" customWidth="1"/>
    <col min="18" max="27" width="5.28125" style="111" customWidth="1"/>
    <col min="28" max="28" width="5.28125" style="111" hidden="1" customWidth="1"/>
    <col min="29" max="29" width="8.421875" style="111" customWidth="1"/>
    <col min="30" max="30" width="9.57421875" style="111" customWidth="1"/>
    <col min="31" max="31" width="10.00390625" style="111" customWidth="1"/>
    <col min="32" max="16384" width="9.140625" style="111" customWidth="1"/>
  </cols>
  <sheetData>
    <row r="1" spans="1:31" ht="26.25" customHeight="1">
      <c r="A1" s="80"/>
      <c r="B1" s="288"/>
      <c r="C1" s="288"/>
      <c r="D1" s="289" t="s">
        <v>157</v>
      </c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  <c r="T1" s="290"/>
      <c r="U1" s="290"/>
      <c r="V1" s="290"/>
      <c r="W1" s="290"/>
      <c r="X1" s="290"/>
      <c r="Y1" s="290"/>
      <c r="Z1" s="290"/>
      <c r="AA1" s="290"/>
      <c r="AB1" s="290"/>
      <c r="AC1" s="290"/>
      <c r="AD1" s="290"/>
      <c r="AE1" s="291"/>
    </row>
    <row r="2" spans="1:31" ht="22.5" customHeight="1">
      <c r="A2" s="81"/>
      <c r="B2" s="288"/>
      <c r="C2" s="288"/>
      <c r="D2" s="292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W2" s="293"/>
      <c r="X2" s="293"/>
      <c r="Y2" s="293"/>
      <c r="Z2" s="293"/>
      <c r="AA2" s="293"/>
      <c r="AB2" s="293"/>
      <c r="AC2" s="293"/>
      <c r="AD2" s="293"/>
      <c r="AE2" s="294"/>
    </row>
    <row r="3" spans="2:31" ht="15.75" customHeight="1">
      <c r="B3" s="295" t="s">
        <v>1</v>
      </c>
      <c r="C3" s="296"/>
      <c r="D3" s="297" t="e">
        <f>РангСоревнований</f>
        <v>#REF!</v>
      </c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97"/>
      <c r="R3" s="297"/>
      <c r="S3" s="297"/>
      <c r="T3" s="297"/>
      <c r="U3" s="297"/>
      <c r="V3" s="297"/>
      <c r="W3" s="297"/>
      <c r="X3" s="297"/>
      <c r="Y3" s="297"/>
      <c r="Z3" s="297"/>
      <c r="AA3" s="297"/>
      <c r="AB3" s="297"/>
      <c r="AC3" s="297"/>
      <c r="AD3" s="297"/>
      <c r="AE3" s="297"/>
    </row>
    <row r="4" spans="2:31" ht="15.75" customHeight="1">
      <c r="B4" s="298" t="s">
        <v>2</v>
      </c>
      <c r="C4" s="299"/>
      <c r="D4" s="300" t="s">
        <v>49</v>
      </c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1"/>
      <c r="P4" s="301"/>
      <c r="Q4" s="301"/>
      <c r="R4" s="301"/>
      <c r="S4" s="301"/>
      <c r="T4" s="301"/>
      <c r="U4" s="301"/>
      <c r="V4" s="301"/>
      <c r="W4" s="301"/>
      <c r="X4" s="301"/>
      <c r="Y4" s="301"/>
      <c r="Z4" s="301"/>
      <c r="AA4" s="301"/>
      <c r="AB4" s="301"/>
      <c r="AC4" s="301"/>
      <c r="AD4" s="301"/>
      <c r="AE4" s="302"/>
    </row>
    <row r="5" spans="2:31" ht="15.75" customHeight="1">
      <c r="B5" s="298" t="s">
        <v>3</v>
      </c>
      <c r="C5" s="299"/>
      <c r="D5" s="305" t="s">
        <v>169</v>
      </c>
      <c r="E5" s="305"/>
      <c r="F5" s="305"/>
      <c r="G5" s="305"/>
      <c r="H5" s="305"/>
      <c r="I5" s="305"/>
      <c r="J5" s="305"/>
      <c r="K5" s="305"/>
      <c r="L5" s="305"/>
      <c r="M5" s="305"/>
      <c r="N5" s="305"/>
      <c r="O5" s="305"/>
      <c r="P5" s="305"/>
      <c r="Q5" s="305"/>
      <c r="R5" s="305"/>
      <c r="S5" s="305"/>
      <c r="T5" s="305"/>
      <c r="U5" s="305"/>
      <c r="V5" s="305"/>
      <c r="W5" s="305"/>
      <c r="X5" s="305"/>
      <c r="Y5" s="305"/>
      <c r="Z5" s="305"/>
      <c r="AA5" s="305"/>
      <c r="AB5" s="305"/>
      <c r="AC5" s="305"/>
      <c r="AD5" s="305"/>
      <c r="AE5" s="305"/>
    </row>
    <row r="6" spans="2:31" ht="15.75" customHeight="1">
      <c r="B6" s="298" t="s">
        <v>4</v>
      </c>
      <c r="C6" s="299"/>
      <c r="D6" s="306"/>
      <c r="E6" s="306"/>
      <c r="F6" s="306"/>
      <c r="G6" s="306"/>
      <c r="H6" s="306"/>
      <c r="I6" s="306"/>
      <c r="J6" s="306"/>
      <c r="K6" s="306"/>
      <c r="L6" s="306"/>
      <c r="M6" s="306"/>
      <c r="N6" s="306"/>
      <c r="O6" s="306"/>
      <c r="P6" s="306"/>
      <c r="Q6" s="306"/>
      <c r="R6" s="306"/>
      <c r="S6" s="306"/>
      <c r="T6" s="306"/>
      <c r="U6" s="306"/>
      <c r="V6" s="306"/>
      <c r="W6" s="306"/>
      <c r="X6" s="306"/>
      <c r="Y6" s="306"/>
      <c r="Z6" s="306"/>
      <c r="AA6" s="306"/>
      <c r="AB6" s="306"/>
      <c r="AC6" s="306"/>
      <c r="AD6" s="306"/>
      <c r="AE6" s="306"/>
    </row>
    <row r="7" spans="2:31" ht="15.75" customHeight="1">
      <c r="B7" s="298" t="s">
        <v>5</v>
      </c>
      <c r="C7" s="299"/>
      <c r="D7" s="306"/>
      <c r="E7" s="306"/>
      <c r="F7" s="306"/>
      <c r="G7" s="306"/>
      <c r="H7" s="306"/>
      <c r="I7" s="306"/>
      <c r="J7" s="306"/>
      <c r="K7" s="306"/>
      <c r="L7" s="306"/>
      <c r="M7" s="306"/>
      <c r="N7" s="306"/>
      <c r="O7" s="306"/>
      <c r="P7" s="306"/>
      <c r="Q7" s="306"/>
      <c r="R7" s="306"/>
      <c r="S7" s="306"/>
      <c r="T7" s="306"/>
      <c r="U7" s="306"/>
      <c r="V7" s="306"/>
      <c r="W7" s="306"/>
      <c r="X7" s="306"/>
      <c r="Y7" s="306"/>
      <c r="Z7" s="306"/>
      <c r="AA7" s="306"/>
      <c r="AB7" s="306"/>
      <c r="AC7" s="306"/>
      <c r="AD7" s="306"/>
      <c r="AE7" s="306"/>
    </row>
    <row r="8" spans="1:31" ht="15">
      <c r="A8" s="1"/>
      <c r="B8" s="1"/>
      <c r="C8" s="1"/>
      <c r="D8" s="1"/>
      <c r="E8" s="1"/>
      <c r="F8" s="1"/>
      <c r="G8" s="122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2:31" ht="15.75">
      <c r="B9" s="307" t="s">
        <v>142</v>
      </c>
      <c r="C9" s="307"/>
      <c r="D9" s="307"/>
      <c r="E9" s="307"/>
      <c r="F9" s="307"/>
      <c r="G9" s="307"/>
      <c r="H9" s="307"/>
      <c r="I9" s="307"/>
      <c r="J9" s="307"/>
      <c r="K9" s="307"/>
      <c r="L9" s="307"/>
      <c r="M9" s="307"/>
      <c r="N9" s="307"/>
      <c r="O9" s="307"/>
      <c r="P9" s="307"/>
      <c r="Q9" s="307"/>
      <c r="R9" s="307"/>
      <c r="S9" s="307"/>
      <c r="T9" s="307"/>
      <c r="U9" s="307"/>
      <c r="V9" s="307"/>
      <c r="W9" s="307"/>
      <c r="X9" s="307"/>
      <c r="Y9" s="307"/>
      <c r="Z9" s="307"/>
      <c r="AA9" s="307"/>
      <c r="AB9" s="307"/>
      <c r="AC9" s="307"/>
      <c r="AD9" s="307"/>
      <c r="AE9" s="307"/>
    </row>
    <row r="10" spans="1:31" ht="20.25" customHeight="1">
      <c r="A10" s="83"/>
      <c r="B10" s="308"/>
      <c r="C10" s="309"/>
      <c r="D10" s="309"/>
      <c r="E10" s="309"/>
      <c r="F10" s="309"/>
      <c r="G10" s="310"/>
      <c r="H10" s="84"/>
      <c r="I10" s="311" t="s">
        <v>194</v>
      </c>
      <c r="J10" s="312"/>
      <c r="K10" s="312"/>
      <c r="L10" s="312"/>
      <c r="M10" s="312"/>
      <c r="N10" s="312"/>
      <c r="O10" s="312"/>
      <c r="P10" s="312"/>
      <c r="Q10" s="312"/>
      <c r="R10" s="312"/>
      <c r="S10" s="312"/>
      <c r="T10" s="312"/>
      <c r="U10" s="312"/>
      <c r="V10" s="312"/>
      <c r="W10" s="312"/>
      <c r="X10" s="312"/>
      <c r="Y10" s="312"/>
      <c r="Z10" s="312"/>
      <c r="AA10" s="312"/>
      <c r="AB10" s="313"/>
      <c r="AC10" s="311" t="s">
        <v>34</v>
      </c>
      <c r="AD10" s="313"/>
      <c r="AE10" s="180"/>
    </row>
    <row r="11" spans="1:31" ht="77.25" customHeight="1">
      <c r="A11" s="79" t="s">
        <v>154</v>
      </c>
      <c r="B11" s="15" t="s">
        <v>39</v>
      </c>
      <c r="C11" s="60" t="s">
        <v>41</v>
      </c>
      <c r="D11" s="40" t="s">
        <v>37</v>
      </c>
      <c r="E11" s="40" t="s">
        <v>36</v>
      </c>
      <c r="F11" s="40" t="s">
        <v>35</v>
      </c>
      <c r="G11" s="128" t="s">
        <v>149</v>
      </c>
      <c r="H11" s="61" t="s">
        <v>38</v>
      </c>
      <c r="I11" s="38" t="s">
        <v>17</v>
      </c>
      <c r="J11" s="38" t="s">
        <v>16</v>
      </c>
      <c r="K11" s="38" t="s">
        <v>19</v>
      </c>
      <c r="L11" s="38" t="s">
        <v>15</v>
      </c>
      <c r="M11" s="38" t="s">
        <v>30</v>
      </c>
      <c r="N11" s="38" t="s">
        <v>20</v>
      </c>
      <c r="O11" s="38" t="s">
        <v>26</v>
      </c>
      <c r="P11" s="38" t="s">
        <v>141</v>
      </c>
      <c r="Q11" s="38" t="s">
        <v>21</v>
      </c>
      <c r="R11" s="38" t="s">
        <v>29</v>
      </c>
      <c r="S11" s="38" t="s">
        <v>27</v>
      </c>
      <c r="T11" s="38" t="s">
        <v>25</v>
      </c>
      <c r="U11" s="38" t="s">
        <v>18</v>
      </c>
      <c r="V11" s="38" t="s">
        <v>140</v>
      </c>
      <c r="W11" s="38" t="s">
        <v>22</v>
      </c>
      <c r="X11" s="38" t="s">
        <v>23</v>
      </c>
      <c r="Y11" s="38" t="s">
        <v>24</v>
      </c>
      <c r="Z11" s="38" t="s">
        <v>184</v>
      </c>
      <c r="AA11" s="38" t="s">
        <v>192</v>
      </c>
      <c r="AB11" s="38" t="s">
        <v>193</v>
      </c>
      <c r="AC11" s="15" t="s">
        <v>9</v>
      </c>
      <c r="AD11" s="19" t="s">
        <v>32</v>
      </c>
      <c r="AE11" s="20" t="s">
        <v>150</v>
      </c>
    </row>
    <row r="12" spans="1:31" ht="18" customHeight="1">
      <c r="A12" s="173"/>
      <c r="B12" s="16">
        <f>_xlfn.IFERROR(VLOOKUP('КаякЖ-2п'!$A12,#REF!,2,0),0)</f>
        <v>0</v>
      </c>
      <c r="C12" s="71">
        <f>_xlfn.IFERROR(VLOOKUP('КаякЖ-2п'!$A12,#REF!,3,0),0)</f>
        <v>0</v>
      </c>
      <c r="D12" s="37">
        <v>0</v>
      </c>
      <c r="E12" s="37">
        <v>0</v>
      </c>
      <c r="F12" s="37"/>
      <c r="G12" s="73">
        <f>'КаякЖ-2п'!$E12-'КаякЖ-2п'!$D12</f>
        <v>0</v>
      </c>
      <c r="H12" s="16">
        <f>IF(TYPE(H11)=1,IF(H11=1,2,1),1)</f>
        <v>1</v>
      </c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16">
        <f>SUM('КаякЖ-2п'!$I12:$AB12)</f>
        <v>0</v>
      </c>
      <c r="AD12" s="7" t="e">
        <f>'КаякЖ-2п'!$AC12*ЦенаБалла</f>
        <v>#REF!</v>
      </c>
      <c r="AE12" s="6" t="e">
        <f>'КаякЖ-2п'!$G12+'КаякЖ-2п'!$AD12</f>
        <v>#REF!</v>
      </c>
    </row>
    <row r="13" spans="1:31" ht="15.75">
      <c r="A13" s="173"/>
      <c r="B13" s="16">
        <f>_xlfn.IFERROR(VLOOKUP('КаякЖ-2п'!$A13,#REF!,2,0),0)</f>
        <v>0</v>
      </c>
      <c r="C13" s="71">
        <f>_xlfn.IFERROR(VLOOKUP('КаякЖ-2п'!$A13,#REF!,3,0),0)</f>
        <v>0</v>
      </c>
      <c r="D13" s="37"/>
      <c r="E13" s="37"/>
      <c r="F13" s="37"/>
      <c r="G13" s="73">
        <f>'КаякЖ-2п'!$E13-'КаякЖ-2п'!$D13</f>
        <v>0</v>
      </c>
      <c r="H13" s="16">
        <f>IF(TYPE(H12)=1,IF(H12=1,2,1),1)</f>
        <v>2</v>
      </c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16">
        <f>SUM('КаякЖ-2п'!$I13:$AB13)</f>
        <v>0</v>
      </c>
      <c r="AD13" s="7" t="e">
        <f>'КаякЖ-2п'!$AC13*ЦенаБалла</f>
        <v>#REF!</v>
      </c>
      <c r="AE13" s="6" t="e">
        <f>'КаякЖ-2п'!$G13+'КаякЖ-2п'!$AD13</f>
        <v>#REF!</v>
      </c>
    </row>
    <row r="14" spans="1:31" ht="15.75">
      <c r="A14" s="173"/>
      <c r="B14" s="16">
        <f>_xlfn.IFERROR(VLOOKUP('КаякЖ-2п'!$A14,#REF!,2,0),0)</f>
        <v>0</v>
      </c>
      <c r="C14" s="71">
        <f>_xlfn.IFERROR(VLOOKUP('КаякЖ-2п'!$A14,#REF!,3,0),0)</f>
        <v>0</v>
      </c>
      <c r="D14" s="37"/>
      <c r="E14" s="37"/>
      <c r="F14" s="37"/>
      <c r="G14" s="73">
        <f>'КаякЖ-2п'!$E14-'КаякЖ-2п'!$D14</f>
        <v>0</v>
      </c>
      <c r="H14" s="16">
        <f>IF(TYPE(H13)=1,IF(H13=1,2,1),1)</f>
        <v>1</v>
      </c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16">
        <f>SUM('КаякЖ-2п'!$I14:$AB14)</f>
        <v>0</v>
      </c>
      <c r="AD14" s="7" t="e">
        <f>'КаякЖ-2п'!$AC14*ЦенаБалла</f>
        <v>#REF!</v>
      </c>
      <c r="AE14" s="6" t="e">
        <f>'КаякЖ-2п'!$G14+'КаякЖ-2п'!$AD14</f>
        <v>#REF!</v>
      </c>
    </row>
    <row r="15" spans="1:31" ht="15.75">
      <c r="A15" s="173"/>
      <c r="B15" s="16">
        <f>_xlfn.IFERROR(VLOOKUP('КаякЖ-2п'!$A15,#REF!,2,0),0)</f>
        <v>0</v>
      </c>
      <c r="C15" s="71">
        <f>_xlfn.IFERROR(VLOOKUP('КаякЖ-2п'!$A15,#REF!,3,0),0)</f>
        <v>0</v>
      </c>
      <c r="D15" s="37"/>
      <c r="E15" s="37"/>
      <c r="F15" s="37"/>
      <c r="G15" s="73">
        <f>'КаякЖ-2п'!$E15-'КаякЖ-2п'!$D15</f>
        <v>0</v>
      </c>
      <c r="H15" s="16">
        <f>IF(TYPE(H14)=1,IF(H14=1,2,1),1)</f>
        <v>2</v>
      </c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16">
        <f>SUM('КаякЖ-2п'!$I15:$AB15)</f>
        <v>0</v>
      </c>
      <c r="AD15" s="7" t="e">
        <f>'КаякЖ-2п'!$AC15*ЦенаБалла</f>
        <v>#REF!</v>
      </c>
      <c r="AE15" s="6" t="e">
        <f>'КаякЖ-2п'!$G15+'КаякЖ-2п'!$AD15</f>
        <v>#REF!</v>
      </c>
    </row>
    <row r="16" spans="1:31" ht="15.75">
      <c r="A16" s="173"/>
      <c r="B16" s="16">
        <f>_xlfn.IFERROR(VLOOKUP('КаякЖ-2п'!$A16,#REF!,2,0),0)</f>
        <v>0</v>
      </c>
      <c r="C16" s="71">
        <f>_xlfn.IFERROR(VLOOKUP('КаякЖ-2п'!$A16,#REF!,3,0),0)</f>
        <v>0</v>
      </c>
      <c r="D16" s="37"/>
      <c r="E16" s="37"/>
      <c r="F16" s="37"/>
      <c r="G16" s="73">
        <f>'КаякЖ-2п'!$E16-'КаякЖ-2п'!$D16</f>
        <v>0</v>
      </c>
      <c r="H16" s="16">
        <f>IF(TYPE(#REF!)=1,IF(#REF!=1,2,1),1)</f>
        <v>1</v>
      </c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16">
        <f>SUM('КаякЖ-2п'!$I16:$AB16)</f>
        <v>0</v>
      </c>
      <c r="AD16" s="7" t="e">
        <f>'КаякЖ-2п'!$AC16*ЦенаБалла</f>
        <v>#REF!</v>
      </c>
      <c r="AE16" s="6" t="e">
        <f>'КаякЖ-2п'!$G16+'КаякЖ-2п'!$AD16</f>
        <v>#REF!</v>
      </c>
    </row>
    <row r="17" spans="1:31" ht="15.75">
      <c r="A17" s="173"/>
      <c r="B17" s="16">
        <f>_xlfn.IFERROR(VLOOKUP('КаякЖ-2п'!$A17,#REF!,2,0),0)</f>
        <v>0</v>
      </c>
      <c r="C17" s="71">
        <f>_xlfn.IFERROR(VLOOKUP('КаякЖ-2п'!$A17,#REF!,3,0),0)</f>
        <v>0</v>
      </c>
      <c r="D17" s="37"/>
      <c r="E17" s="37"/>
      <c r="F17" s="37"/>
      <c r="G17" s="73">
        <f>'КаякЖ-2п'!$E17-'КаякЖ-2п'!$D17</f>
        <v>0</v>
      </c>
      <c r="H17" s="16">
        <f aca="true" t="shared" si="0" ref="H17:H26">IF(TYPE(H16)=1,IF(H16=1,2,1),1)</f>
        <v>2</v>
      </c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16">
        <f>SUM('КаякЖ-2п'!$I17:$AB17)</f>
        <v>0</v>
      </c>
      <c r="AD17" s="7" t="e">
        <f>'КаякЖ-2п'!$AC17*ЦенаБалла</f>
        <v>#REF!</v>
      </c>
      <c r="AE17" s="6" t="e">
        <f>'КаякЖ-2п'!$G17+'КаякЖ-2п'!$AD17</f>
        <v>#REF!</v>
      </c>
    </row>
    <row r="18" spans="1:31" ht="15.75">
      <c r="A18" s="173"/>
      <c r="B18" s="16">
        <f>_xlfn.IFERROR(VLOOKUP('КаякЖ-2п'!$A18,#REF!,2,0),0)</f>
        <v>0</v>
      </c>
      <c r="C18" s="71">
        <f>_xlfn.IFERROR(VLOOKUP('КаякЖ-2п'!$A18,#REF!,3,0),0)</f>
        <v>0</v>
      </c>
      <c r="D18" s="37"/>
      <c r="E18" s="37"/>
      <c r="F18" s="37"/>
      <c r="G18" s="73">
        <f>'КаякЖ-2п'!$E18-'КаякЖ-2п'!$D18</f>
        <v>0</v>
      </c>
      <c r="H18" s="16">
        <f t="shared" si="0"/>
        <v>1</v>
      </c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16">
        <f>SUM('КаякЖ-2п'!$I18:$AB18)</f>
        <v>0</v>
      </c>
      <c r="AD18" s="7" t="e">
        <f>'КаякЖ-2п'!$AC18*ЦенаБалла</f>
        <v>#REF!</v>
      </c>
      <c r="AE18" s="6" t="e">
        <f>'КаякЖ-2п'!$G18+'КаякЖ-2п'!$AD18</f>
        <v>#REF!</v>
      </c>
    </row>
    <row r="19" spans="1:31" ht="15.75">
      <c r="A19" s="173"/>
      <c r="B19" s="110">
        <f>_xlfn.IFERROR(VLOOKUP('КаякЖ-2п'!$A19,#REF!,2,0),0)</f>
        <v>0</v>
      </c>
      <c r="C19" s="109">
        <f>_xlfn.IFERROR(VLOOKUP('КаякЖ-2п'!$A19,#REF!,3,0),0)</f>
        <v>0</v>
      </c>
      <c r="D19" s="37"/>
      <c r="E19" s="37"/>
      <c r="F19" s="37"/>
      <c r="G19" s="73">
        <f>'КаякЖ-2п'!$E19-'КаякЖ-2п'!$D19</f>
        <v>0</v>
      </c>
      <c r="H19" s="110">
        <f t="shared" si="0"/>
        <v>2</v>
      </c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107"/>
      <c r="AC19" s="110">
        <f>SUM('КаякЖ-2п'!$I19:$AB19)</f>
        <v>0</v>
      </c>
      <c r="AD19" s="106" t="e">
        <f>'КаякЖ-2п'!$AC19*ЦенаБалла</f>
        <v>#REF!</v>
      </c>
      <c r="AE19" s="117" t="e">
        <f>'КаякЖ-2п'!$G19+'КаякЖ-2п'!$AD19</f>
        <v>#REF!</v>
      </c>
    </row>
    <row r="20" spans="1:31" s="14" customFormat="1" ht="15" customHeight="1">
      <c r="A20" s="173"/>
      <c r="B20" s="18">
        <f>_xlfn.IFERROR(VLOOKUP('КаякЖ-2п'!$A20,#REF!,2,0),0)</f>
        <v>0</v>
      </c>
      <c r="C20" s="72">
        <f>_xlfn.IFERROR(VLOOKUP('КаякЖ-2п'!$A20,#REF!,3,0),0)</f>
        <v>0</v>
      </c>
      <c r="D20" s="37"/>
      <c r="E20" s="37"/>
      <c r="F20" s="37"/>
      <c r="G20" s="73">
        <f>'КаякЖ-2п'!$E20-'КаякЖ-2п'!$D20</f>
        <v>0</v>
      </c>
      <c r="H20" s="18">
        <f t="shared" si="0"/>
        <v>1</v>
      </c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18">
        <f>SUM('КаякЖ-2п'!$I20:$AB20)</f>
        <v>0</v>
      </c>
      <c r="AD20" s="17" t="e">
        <f>'КаякЖ-2п'!$AC20*ЦенаБалла</f>
        <v>#REF!</v>
      </c>
      <c r="AE20" s="7" t="e">
        <f>'КаякЖ-2п'!$G20+'КаякЖ-2п'!$AD20</f>
        <v>#REF!</v>
      </c>
    </row>
    <row r="21" spans="1:31" s="14" customFormat="1" ht="15" customHeight="1">
      <c r="A21" s="173"/>
      <c r="B21" s="16">
        <f>_xlfn.IFERROR(VLOOKUP('КаякЖ-2п'!$A21,#REF!,2,0),0)</f>
        <v>0</v>
      </c>
      <c r="C21" s="71">
        <f>_xlfn.IFERROR(VLOOKUP('КаякЖ-2п'!$A21,#REF!,3,0),0)</f>
        <v>0</v>
      </c>
      <c r="D21" s="37"/>
      <c r="E21" s="37"/>
      <c r="F21" s="37"/>
      <c r="G21" s="73">
        <f>'КаякЖ-2п'!$E21-'КаякЖ-2п'!$D21</f>
        <v>0</v>
      </c>
      <c r="H21" s="16">
        <f t="shared" si="0"/>
        <v>2</v>
      </c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16">
        <f>SUM('КаякЖ-2п'!$I21:$AB21)</f>
        <v>0</v>
      </c>
      <c r="AD21" s="17" t="e">
        <f>'КаякЖ-2п'!$AC21*ЦенаБалла</f>
        <v>#REF!</v>
      </c>
      <c r="AE21" s="6" t="e">
        <f>'КаякЖ-2п'!$G21+'КаякЖ-2п'!$AD21</f>
        <v>#REF!</v>
      </c>
    </row>
    <row r="22" spans="1:31" s="14" customFormat="1" ht="15" customHeight="1">
      <c r="A22" s="173"/>
      <c r="B22" s="110">
        <f>_xlfn.IFERROR(VLOOKUP('КаякЖ-2п'!$A22,#REF!,2,0),0)</f>
        <v>0</v>
      </c>
      <c r="C22" s="109">
        <f>_xlfn.IFERROR(VLOOKUP('КаякЖ-2п'!$A22,#REF!,3,0),0)</f>
        <v>0</v>
      </c>
      <c r="D22" s="37"/>
      <c r="E22" s="37"/>
      <c r="F22" s="108"/>
      <c r="G22" s="73">
        <f>'КаякЖ-2п'!$E22-'КаякЖ-2п'!$D22</f>
        <v>0</v>
      </c>
      <c r="H22" s="110">
        <f t="shared" si="0"/>
        <v>1</v>
      </c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107"/>
      <c r="AC22" s="110">
        <f>SUM('КаякЖ-2п'!$I22:$AB22)</f>
        <v>0</v>
      </c>
      <c r="AD22" s="106" t="e">
        <f>'КаякЖ-2п'!$AC22*ЦенаБалла</f>
        <v>#REF!</v>
      </c>
      <c r="AE22" s="117" t="e">
        <f>'КаякЖ-2п'!$G22+'КаякЖ-2п'!$AD22</f>
        <v>#REF!</v>
      </c>
    </row>
    <row r="23" spans="1:31" s="14" customFormat="1" ht="15.75">
      <c r="A23" s="183"/>
      <c r="B23" s="184">
        <f>_xlfn.IFERROR(VLOOKUP('КаякЖ-2п'!$A23,#REF!,2,0),0)</f>
        <v>0</v>
      </c>
      <c r="C23" s="186">
        <f>_xlfn.IFERROR(VLOOKUP('КаякЖ-2п'!$A23,#REF!,3,0),0)</f>
        <v>0</v>
      </c>
      <c r="D23" s="188"/>
      <c r="E23" s="188"/>
      <c r="F23" s="188"/>
      <c r="G23" s="194">
        <f>'КаякЖ-2п'!$E23-'КаякЖ-2п'!$D23</f>
        <v>0</v>
      </c>
      <c r="H23" s="185">
        <f t="shared" si="0"/>
        <v>2</v>
      </c>
      <c r="I23" s="190"/>
      <c r="J23" s="190"/>
      <c r="K23" s="190"/>
      <c r="L23" s="190"/>
      <c r="M23" s="190"/>
      <c r="N23" s="190"/>
      <c r="O23" s="190"/>
      <c r="P23" s="190"/>
      <c r="Q23" s="190"/>
      <c r="R23" s="190"/>
      <c r="S23" s="190"/>
      <c r="T23" s="190"/>
      <c r="U23" s="190"/>
      <c r="V23" s="191"/>
      <c r="W23" s="191"/>
      <c r="X23" s="191"/>
      <c r="Y23" s="191"/>
      <c r="Z23" s="191"/>
      <c r="AA23" s="191"/>
      <c r="AB23" s="191"/>
      <c r="AC23" s="185">
        <f>SUM('КаякЖ-2п'!$I23:$AB23)</f>
        <v>0</v>
      </c>
      <c r="AD23" s="192" t="e">
        <f>'КаякЖ-2п'!$AC23*ЦенаБалла</f>
        <v>#REF!</v>
      </c>
      <c r="AE23" s="193" t="e">
        <f>'КаякЖ-2п'!$G23+'КаякЖ-2п'!$AD23</f>
        <v>#REF!</v>
      </c>
    </row>
    <row r="24" spans="1:31" ht="15.75">
      <c r="A24" s="183"/>
      <c r="B24" s="185">
        <f>_xlfn.IFERROR(VLOOKUP('КаякЖ-2п'!$A24,#REF!,2,0),0)</f>
        <v>0</v>
      </c>
      <c r="C24" s="187">
        <f>_xlfn.IFERROR(VLOOKUP('КаякЖ-2п'!$A24,#REF!,3,0),0)</f>
        <v>0</v>
      </c>
      <c r="D24" s="189"/>
      <c r="E24" s="189"/>
      <c r="F24" s="189"/>
      <c r="G24" s="73">
        <f>'КаякЖ-2п'!$E24-'КаякЖ-2п'!$D24</f>
        <v>0</v>
      </c>
      <c r="H24" s="185">
        <f t="shared" si="0"/>
        <v>1</v>
      </c>
      <c r="I24" s="191"/>
      <c r="J24" s="191"/>
      <c r="K24" s="191"/>
      <c r="L24" s="191"/>
      <c r="M24" s="191"/>
      <c r="N24" s="191"/>
      <c r="O24" s="191"/>
      <c r="P24" s="191"/>
      <c r="Q24" s="191"/>
      <c r="R24" s="191"/>
      <c r="S24" s="191"/>
      <c r="T24" s="191"/>
      <c r="U24" s="191"/>
      <c r="V24" s="191"/>
      <c r="W24" s="191"/>
      <c r="X24" s="191"/>
      <c r="Y24" s="191"/>
      <c r="Z24" s="191"/>
      <c r="AA24" s="191"/>
      <c r="AB24" s="191"/>
      <c r="AC24" s="185">
        <f>SUM('КаякЖ-2п'!$I24:$AB24)</f>
        <v>0</v>
      </c>
      <c r="AD24" s="192" t="e">
        <f>'КаякЖ-2п'!$AC24*ЦенаБалла</f>
        <v>#REF!</v>
      </c>
      <c r="AE24" s="193" t="e">
        <f>'КаякЖ-2п'!$G24+'КаякЖ-2п'!$AD24</f>
        <v>#REF!</v>
      </c>
    </row>
    <row r="25" spans="1:31" ht="15.75">
      <c r="A25" s="183"/>
      <c r="B25" s="185">
        <f>_xlfn.IFERROR(VLOOKUP('КаякЖ-2п'!$A25,#REF!,2,0),0)</f>
        <v>0</v>
      </c>
      <c r="C25" s="187">
        <f>_xlfn.IFERROR(VLOOKUP('КаякЖ-2п'!$A25,#REF!,3,0),0)</f>
        <v>0</v>
      </c>
      <c r="D25" s="189"/>
      <c r="E25" s="189"/>
      <c r="F25" s="189"/>
      <c r="G25" s="73">
        <f>'КаякЖ-2п'!$E25-'КаякЖ-2п'!$D25</f>
        <v>0</v>
      </c>
      <c r="H25" s="185">
        <f t="shared" si="0"/>
        <v>2</v>
      </c>
      <c r="I25" s="191"/>
      <c r="J25" s="191"/>
      <c r="K25" s="191"/>
      <c r="L25" s="191"/>
      <c r="M25" s="191"/>
      <c r="N25" s="191"/>
      <c r="O25" s="191"/>
      <c r="P25" s="191"/>
      <c r="Q25" s="191"/>
      <c r="R25" s="191"/>
      <c r="S25" s="191"/>
      <c r="T25" s="191"/>
      <c r="U25" s="191"/>
      <c r="V25" s="191"/>
      <c r="W25" s="191"/>
      <c r="X25" s="191"/>
      <c r="Y25" s="191"/>
      <c r="Z25" s="191"/>
      <c r="AA25" s="191"/>
      <c r="AB25" s="191"/>
      <c r="AC25" s="185">
        <f>SUM('КаякЖ-2п'!$I25:$AB25)</f>
        <v>0</v>
      </c>
      <c r="AD25" s="192" t="e">
        <f>'КаякЖ-2п'!$AC25*ЦенаБалла</f>
        <v>#REF!</v>
      </c>
      <c r="AE25" s="193" t="e">
        <f>'КаякЖ-2п'!$G25+'КаякЖ-2п'!$AD25</f>
        <v>#REF!</v>
      </c>
    </row>
    <row r="26" spans="1:31" ht="15.75">
      <c r="A26" s="183"/>
      <c r="B26" s="185">
        <f>_xlfn.IFERROR(VLOOKUP('КаякЖ-2п'!$A26,#REF!,2,0),0)</f>
        <v>0</v>
      </c>
      <c r="C26" s="187">
        <f>_xlfn.IFERROR(VLOOKUP('КаякЖ-2п'!$A26,#REF!,3,0),0)</f>
        <v>0</v>
      </c>
      <c r="D26" s="189"/>
      <c r="E26" s="189"/>
      <c r="F26" s="189"/>
      <c r="G26" s="73">
        <f>'КаякЖ-2п'!$E26-'КаякЖ-2п'!$D26</f>
        <v>0</v>
      </c>
      <c r="H26" s="185">
        <f t="shared" si="0"/>
        <v>1</v>
      </c>
      <c r="I26" s="191"/>
      <c r="J26" s="191"/>
      <c r="K26" s="191"/>
      <c r="L26" s="191"/>
      <c r="M26" s="191"/>
      <c r="N26" s="191"/>
      <c r="O26" s="191"/>
      <c r="P26" s="191"/>
      <c r="Q26" s="191"/>
      <c r="R26" s="191"/>
      <c r="S26" s="191"/>
      <c r="T26" s="191"/>
      <c r="U26" s="191"/>
      <c r="V26" s="191"/>
      <c r="W26" s="191"/>
      <c r="X26" s="191"/>
      <c r="Y26" s="191"/>
      <c r="Z26" s="191"/>
      <c r="AA26" s="191"/>
      <c r="AB26" s="191"/>
      <c r="AC26" s="185">
        <f>SUM('КаякЖ-2п'!$I26:$AB26)</f>
        <v>0</v>
      </c>
      <c r="AD26" s="192" t="e">
        <f>'КаякЖ-2п'!$AC26*ЦенаБалла</f>
        <v>#REF!</v>
      </c>
      <c r="AE26" s="193" t="e">
        <f>'КаякЖ-2п'!$G26+'КаякЖ-2п'!$AD26</f>
        <v>#REF!</v>
      </c>
    </row>
    <row r="27" spans="2:32" ht="15.75">
      <c r="B27" s="82" t="s">
        <v>7</v>
      </c>
      <c r="C27" s="82"/>
      <c r="D27" s="304"/>
      <c r="E27" s="304"/>
      <c r="G27" s="123"/>
      <c r="H27" s="10"/>
      <c r="I27" s="14"/>
      <c r="J27" s="54" t="e">
        <f>фиосудья</f>
        <v>#REF!</v>
      </c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</row>
    <row r="28" spans="2:32" ht="15.75">
      <c r="B28" s="82" t="s">
        <v>6</v>
      </c>
      <c r="C28" s="82"/>
      <c r="D28" s="179"/>
      <c r="E28" s="179"/>
      <c r="F28" s="11"/>
      <c r="G28" s="124"/>
      <c r="H28" s="11"/>
      <c r="I28" s="14"/>
      <c r="J28" s="12" t="e">
        <f>фиосекретарь</f>
        <v>#REF!</v>
      </c>
      <c r="K28" s="12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</row>
    <row r="29" spans="2:11" ht="15">
      <c r="B29" s="303" t="e">
        <f>дата_протокол</f>
        <v>#REF!</v>
      </c>
      <c r="C29" s="303"/>
      <c r="D29" s="304"/>
      <c r="E29" s="304"/>
      <c r="I29" s="14"/>
      <c r="J29" s="14"/>
      <c r="K29" s="14"/>
    </row>
  </sheetData>
  <sheetProtection/>
  <mergeCells count="19">
    <mergeCell ref="B29:C29"/>
    <mergeCell ref="D29:E29"/>
    <mergeCell ref="B5:C5"/>
    <mergeCell ref="D5:AE5"/>
    <mergeCell ref="B6:C6"/>
    <mergeCell ref="D6:AE6"/>
    <mergeCell ref="B7:C7"/>
    <mergeCell ref="D7:AE7"/>
    <mergeCell ref="B9:AE9"/>
    <mergeCell ref="B10:G10"/>
    <mergeCell ref="I10:AB10"/>
    <mergeCell ref="AC10:AD10"/>
    <mergeCell ref="D27:E27"/>
    <mergeCell ref="B1:C2"/>
    <mergeCell ref="D1:AE2"/>
    <mergeCell ref="B3:C3"/>
    <mergeCell ref="D3:AE3"/>
    <mergeCell ref="B4:C4"/>
    <mergeCell ref="D4:AE4"/>
  </mergeCells>
  <dataValidations count="3">
    <dataValidation type="whole" operator="greaterThan" allowBlank="1" showErrorMessage="1" errorTitle="Внимание!" error="Данные в этой ячейке должны быть целым числом без любых дополнительных знаков." sqref="B12:B26">
      <formula1>0</formula1>
    </dataValidation>
    <dataValidation type="list" allowBlank="1" showInputMessage="1" showErrorMessage="1" sqref="D4">
      <formula1>дисциплины</formula1>
    </dataValidation>
    <dataValidation type="time" operator="greaterThanOrEqual" allowBlank="1" showInputMessage="1" showErrorMessage="1" sqref="E22:E26 G12:G26 D22:D23 D12:E21">
      <formula1>0</formula1>
    </dataValidation>
  </dataValidations>
  <printOptions/>
  <pageMargins left="0.5905511811023623" right="0.5905511811023623" top="0.5905511811023623" bottom="0.5905511811023623" header="0" footer="0"/>
  <pageSetup fitToHeight="1" fitToWidth="1" horizontalDpi="300" verticalDpi="300" orientation="landscape" paperSize="9" scale="67" r:id="rId5"/>
  <drawing r:id="rId4"/>
  <legacyDrawing r:id="rId2"/>
  <tableParts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S45"/>
  <sheetViews>
    <sheetView zoomScalePageLayoutView="0" workbookViewId="0" topLeftCell="A1">
      <selection activeCell="G20" sqref="G20"/>
    </sheetView>
  </sheetViews>
  <sheetFormatPr defaultColWidth="9.140625" defaultRowHeight="15" outlineLevelRow="1" outlineLevelCol="1"/>
  <cols>
    <col min="1" max="1" width="11.7109375" style="111" customWidth="1" outlineLevel="1"/>
    <col min="2" max="2" width="7.8515625" style="111" customWidth="1"/>
    <col min="3" max="3" width="38.57421875" style="111" customWidth="1"/>
    <col min="4" max="5" width="11.7109375" style="111" customWidth="1"/>
    <col min="6" max="6" width="10.00390625" style="111" customWidth="1"/>
    <col min="7" max="7" width="12.00390625" style="4" customWidth="1"/>
    <col min="8" max="8" width="12.421875" style="111" hidden="1" customWidth="1" outlineLevel="1"/>
    <col min="9" max="9" width="12.7109375" style="111" hidden="1" customWidth="1" outlineLevel="1" collapsed="1"/>
    <col min="10" max="10" width="12.7109375" style="111" hidden="1" customWidth="1" outlineLevel="1"/>
    <col min="11" max="11" width="12.7109375" style="111" hidden="1" customWidth="1" outlineLevel="1" collapsed="1"/>
    <col min="12" max="12" width="28.00390625" style="111" customWidth="1" collapsed="1"/>
    <col min="13" max="13" width="9.140625" style="111" customWidth="1" outlineLevel="1" collapsed="1"/>
    <col min="14" max="14" width="9.140625" style="111" customWidth="1"/>
    <col min="15" max="15" width="30.00390625" style="111" bestFit="1" customWidth="1"/>
    <col min="16" max="18" width="9.140625" style="111" customWidth="1"/>
    <col min="19" max="19" width="17.140625" style="111" customWidth="1"/>
    <col min="20" max="16384" width="9.140625" style="111" customWidth="1"/>
  </cols>
  <sheetData>
    <row r="1" spans="1:15" ht="33.75" customHeight="1">
      <c r="A1" s="87"/>
      <c r="B1" s="314"/>
      <c r="C1" s="315"/>
      <c r="D1" s="289" t="s">
        <v>157</v>
      </c>
      <c r="E1" s="290"/>
      <c r="F1" s="290"/>
      <c r="G1" s="290"/>
      <c r="H1" s="290"/>
      <c r="I1" s="290"/>
      <c r="J1" s="290"/>
      <c r="K1" s="290"/>
      <c r="L1" s="291"/>
      <c r="N1" s="97"/>
      <c r="O1" s="196" t="s">
        <v>57</v>
      </c>
    </row>
    <row r="2" spans="1:15" ht="57.75" customHeight="1" thickBot="1">
      <c r="A2" s="88"/>
      <c r="B2" s="316"/>
      <c r="C2" s="317"/>
      <c r="D2" s="292"/>
      <c r="E2" s="293"/>
      <c r="F2" s="293"/>
      <c r="G2" s="293"/>
      <c r="H2" s="293"/>
      <c r="I2" s="293"/>
      <c r="J2" s="293"/>
      <c r="K2" s="293"/>
      <c r="L2" s="294"/>
      <c r="N2" s="97"/>
      <c r="O2" s="45" t="s">
        <v>55</v>
      </c>
    </row>
    <row r="3" spans="2:16" ht="40.5" customHeight="1" thickBot="1">
      <c r="B3" s="295" t="s">
        <v>1</v>
      </c>
      <c r="C3" s="296"/>
      <c r="D3" s="318" t="e">
        <f>РангСоревнований</f>
        <v>#REF!</v>
      </c>
      <c r="E3" s="319"/>
      <c r="F3" s="319"/>
      <c r="G3" s="319"/>
      <c r="H3" s="319"/>
      <c r="I3" s="319"/>
      <c r="J3" s="319"/>
      <c r="K3" s="319"/>
      <c r="L3" s="320"/>
      <c r="N3" s="97"/>
      <c r="O3" s="14"/>
      <c r="P3" s="14"/>
    </row>
    <row r="4" spans="2:18" ht="15.75" customHeight="1">
      <c r="B4" s="298" t="s">
        <v>2</v>
      </c>
      <c r="C4" s="299"/>
      <c r="D4" s="300" t="s">
        <v>49</v>
      </c>
      <c r="E4" s="301"/>
      <c r="F4" s="301"/>
      <c r="G4" s="301"/>
      <c r="H4" s="301"/>
      <c r="I4" s="301"/>
      <c r="J4" s="301"/>
      <c r="K4" s="301"/>
      <c r="L4" s="302"/>
      <c r="N4" s="97"/>
      <c r="O4" s="195" t="s">
        <v>63</v>
      </c>
      <c r="P4" s="14"/>
      <c r="Q4" s="14"/>
      <c r="R4" s="14"/>
    </row>
    <row r="5" spans="2:18" ht="16.5" thickBot="1">
      <c r="B5" s="298" t="s">
        <v>3</v>
      </c>
      <c r="C5" s="299"/>
      <c r="D5" s="322" t="s">
        <v>169</v>
      </c>
      <c r="E5" s="323"/>
      <c r="F5" s="323"/>
      <c r="G5" s="323"/>
      <c r="H5" s="323"/>
      <c r="I5" s="323"/>
      <c r="J5" s="323"/>
      <c r="K5" s="323"/>
      <c r="L5" s="324"/>
      <c r="N5" s="97"/>
      <c r="O5" s="45" t="s">
        <v>61</v>
      </c>
      <c r="P5" s="14"/>
      <c r="Q5" s="14"/>
      <c r="R5" s="14"/>
    </row>
    <row r="6" spans="2:19" ht="15.75" customHeight="1">
      <c r="B6" s="298" t="s">
        <v>4</v>
      </c>
      <c r="C6" s="299"/>
      <c r="D6" s="318" t="e">
        <f>S7</f>
        <v>#REF!</v>
      </c>
      <c r="E6" s="319"/>
      <c r="F6" s="319"/>
      <c r="G6" s="319"/>
      <c r="H6" s="319"/>
      <c r="I6" s="319"/>
      <c r="J6" s="319"/>
      <c r="K6" s="319"/>
      <c r="L6" s="320"/>
      <c r="N6" s="97"/>
      <c r="O6" s="36" t="s">
        <v>65</v>
      </c>
      <c r="P6" s="33" t="s">
        <v>89</v>
      </c>
      <c r="Q6" s="32" t="s">
        <v>90</v>
      </c>
      <c r="R6" s="64" t="s">
        <v>91</v>
      </c>
      <c r="S6" s="67" t="s">
        <v>148</v>
      </c>
    </row>
    <row r="7" spans="2:19" ht="16.5" customHeight="1" thickBot="1">
      <c r="B7" s="298" t="s">
        <v>5</v>
      </c>
      <c r="C7" s="299"/>
      <c r="D7" s="318" t="e">
        <f>ранг</f>
        <v>#REF!</v>
      </c>
      <c r="E7" s="319"/>
      <c r="F7" s="319"/>
      <c r="G7" s="319"/>
      <c r="H7" s="319"/>
      <c r="I7" s="319"/>
      <c r="J7" s="319"/>
      <c r="K7" s="319"/>
      <c r="L7" s="320"/>
      <c r="N7" s="97"/>
      <c r="O7" s="35" t="e">
        <f>ROUND(SUMIF('КаякЖ-итог'!$J$12:$J$16,TRUE,'КаякЖ-итог'!$K$12:$K$16)*VLOOKUP(с_вид_участия,т_вид_участия,3,0),0)</f>
        <v>#REF!</v>
      </c>
      <c r="P7" s="34" t="e">
        <f>VLOOKUP(O7,т_время_победителя,2,1)</f>
        <v>#REF!</v>
      </c>
      <c r="Q7" s="30" t="e">
        <f>VLOOKUP(O7,т_время_победителя,3,1)</f>
        <v>#REF!</v>
      </c>
      <c r="R7" s="31" t="e">
        <f>VLOOKUP(O7,т_время_победителя,4,1)</f>
        <v>#REF!</v>
      </c>
      <c r="S7" s="74" t="e">
        <f>VLOOKUP(ранг,т_класс_дистанции,2,1)</f>
        <v>#REF!</v>
      </c>
    </row>
    <row r="8" spans="1:19" ht="15.75" hidden="1">
      <c r="A8" s="13"/>
      <c r="B8" s="13"/>
      <c r="C8" s="13"/>
      <c r="D8" s="13"/>
      <c r="E8" s="13"/>
      <c r="F8" s="13"/>
      <c r="G8" s="13"/>
      <c r="H8" s="13"/>
      <c r="I8" s="13"/>
      <c r="J8" s="23"/>
      <c r="K8" s="23"/>
      <c r="L8" s="1"/>
      <c r="O8" s="85"/>
      <c r="P8" s="179"/>
      <c r="Q8" s="179"/>
      <c r="R8" s="179"/>
      <c r="S8" s="86"/>
    </row>
    <row r="9" spans="1:12" ht="15">
      <c r="A9" s="1"/>
      <c r="B9" s="1"/>
      <c r="C9" s="1"/>
      <c r="D9" s="1"/>
      <c r="E9" s="1"/>
      <c r="F9" s="1"/>
      <c r="G9" s="2"/>
      <c r="H9" s="1"/>
      <c r="I9" s="1"/>
      <c r="J9" s="1"/>
      <c r="K9" s="1"/>
      <c r="L9" s="1"/>
    </row>
    <row r="10" spans="1:12" ht="15.75">
      <c r="A10" s="307" t="s">
        <v>42</v>
      </c>
      <c r="B10" s="307"/>
      <c r="C10" s="307"/>
      <c r="D10" s="307"/>
      <c r="E10" s="307"/>
      <c r="F10" s="307"/>
      <c r="G10" s="307"/>
      <c r="H10" s="307"/>
      <c r="I10" s="307"/>
      <c r="J10" s="307"/>
      <c r="K10" s="307"/>
      <c r="L10" s="307"/>
    </row>
    <row r="11" spans="1:13" ht="45">
      <c r="A11" s="79" t="s">
        <v>33</v>
      </c>
      <c r="B11" s="167" t="s">
        <v>39</v>
      </c>
      <c r="C11" s="153" t="s">
        <v>41</v>
      </c>
      <c r="D11" s="155" t="s">
        <v>143</v>
      </c>
      <c r="E11" s="155" t="s">
        <v>144</v>
      </c>
      <c r="F11" s="158" t="s">
        <v>40</v>
      </c>
      <c r="G11" s="159" t="s">
        <v>0</v>
      </c>
      <c r="H11" s="69" t="s">
        <v>46</v>
      </c>
      <c r="I11" s="15" t="s">
        <v>45</v>
      </c>
      <c r="J11" s="15" t="s">
        <v>64</v>
      </c>
      <c r="K11" s="15" t="s">
        <v>59</v>
      </c>
      <c r="L11" s="70" t="s">
        <v>8</v>
      </c>
      <c r="M11" s="99" t="s">
        <v>161</v>
      </c>
    </row>
    <row r="12" spans="1:13" ht="18" customHeight="1">
      <c r="A12" s="173"/>
      <c r="B12" s="16">
        <f>_xlfn.IFERROR(VLOOKUP(#REF!,#REF!,2,0),0)</f>
        <v>0</v>
      </c>
      <c r="C12" s="161">
        <f>_xlfn.IFERROR(VLOOKUP('КаякЖ-итог'!$A12,#REF!,3,0),0)</f>
        <v>0</v>
      </c>
      <c r="D12" s="62" t="e">
        <f>VLOOKUP('КаякЖ-итог'!$A12,#REF!,COLUMN(#REF!),0)</f>
        <v>#REF!</v>
      </c>
      <c r="E12" s="62" t="e">
        <f>VLOOKUP('КаякЖ-итог'!$A12,#REF!,COLUMN(#REF!),0)</f>
        <v>#REF!</v>
      </c>
      <c r="F12" s="162" t="e">
        <f>'КаякЖ-итог'!$D12+'КаякЖ-итог'!$E12</f>
        <v>#REF!</v>
      </c>
      <c r="G12" s="163" t="e">
        <f>IF((COUNTIF('КаякЖ-итог'!$M$12:$M$16,'КаякЖ-итог'!$M12)-1)=0,RANK('КаякЖ-итог'!$M12,'КаякЖ-итог'!$M$12:$M$16,1),RANK('КаякЖ-итог'!$M12,'КаякЖ-итог'!$M$12:$M$16,1)&amp;"-"&amp;RANK('КаякЖ-итог'!$M12,'КаякЖ-итог'!$M$12:$M$16,1)+COUNTIF('КаякЖ-итог'!$M$12:$M$16,'КаякЖ-итог'!$M12)-1)</f>
        <v>#REF!</v>
      </c>
      <c r="H12" s="135" t="e">
        <f>HLOOKUP(ВидДистанции,ТаблицаБаллов,MATCH('КаякЖ-итог'!$G12,ЗанятоеМесто,0),0)</f>
        <v>#REF!</v>
      </c>
      <c r="I12" s="136" t="e">
        <f>100*'КаякЖ-итог'!$F12/MIN('КаякЖ-итог'!$F$12:$F$16)</f>
        <v>#REF!</v>
      </c>
      <c r="J12" s="21" t="e">
        <f>'КаякЖ-итог'!$G12&lt;=VLOOKUP($O$5,т_вид_участия,2,0)</f>
        <v>#REF!</v>
      </c>
      <c r="K12" s="53" t="e">
        <f>IF('КаякЖ-итог'!$J12=FALSE,0,VLOOKUP('КаякЖ-итог'!$A12,#REF!,COLUMN(#REF!),0))</f>
        <v>#REF!</v>
      </c>
      <c r="L12" s="137" t="e">
        <f>IF('КаякЖ-итог'!$I12&lt;=$P$7,"1 разряд",IF('КаякЖ-итог'!$I12&lt;=$Q$7,"2 разряд",IF('КаякЖ-итог'!$I12&lt;=$R$7,"3 разряд","")))</f>
        <v>#REF!</v>
      </c>
      <c r="M12" s="100" t="e">
        <f>'КаякЖ-итог'!$D12+'КаякЖ-итог'!$E12+'КаякЖ-итог'!$F12</f>
        <v>#REF!</v>
      </c>
    </row>
    <row r="13" spans="1:13" ht="15.75">
      <c r="A13" s="173"/>
      <c r="B13" s="16">
        <f>_xlfn.IFERROR(VLOOKUP(#REF!,#REF!,2,0),0)</f>
        <v>0</v>
      </c>
      <c r="C13" s="161">
        <f>_xlfn.IFERROR(VLOOKUP('КаякЖ-итог'!$A13,#REF!,3,0),0)</f>
        <v>0</v>
      </c>
      <c r="D13" s="62" t="e">
        <f>VLOOKUP('КаякЖ-итог'!$A13,#REF!,COLUMN(#REF!),0)</f>
        <v>#REF!</v>
      </c>
      <c r="E13" s="62" t="e">
        <f>VLOOKUP('КаякЖ-итог'!$A13,#REF!,COLUMN(#REF!),0)</f>
        <v>#REF!</v>
      </c>
      <c r="F13" s="162" t="e">
        <f>'КаякЖ-итог'!$D13+'КаякЖ-итог'!$E13</f>
        <v>#REF!</v>
      </c>
      <c r="G13" s="163" t="e">
        <f>IF((COUNTIF('КаякЖ-итог'!$M$12:$M$16,'КаякЖ-итог'!$M13)-1)=0,RANK('КаякЖ-итог'!$M13,'КаякЖ-итог'!$M$12:$M$16,1),RANK('КаякЖ-итог'!$M13,'КаякЖ-итог'!$M$12:$M$16,1)&amp;"-"&amp;RANK('КаякЖ-итог'!$M13,'КаякЖ-итог'!$M$12:$M$16,1)+COUNTIF('КаякЖ-итог'!$M$12:$M$16,'КаякЖ-итог'!$M13)-1)</f>
        <v>#REF!</v>
      </c>
      <c r="H13" s="135" t="e">
        <f>HLOOKUP(ВидДистанции,ТаблицаБаллов,MATCH('КаякЖ-итог'!$G13,ЗанятоеМесто,0),0)</f>
        <v>#REF!</v>
      </c>
      <c r="I13" s="136" t="e">
        <f>100*'КаякЖ-итог'!$F13/MIN('КаякЖ-итог'!$F$12:$F$16)</f>
        <v>#REF!</v>
      </c>
      <c r="J13" s="21" t="e">
        <f>'КаякЖ-итог'!$G13&lt;=VLOOKUP($O$5,т_вид_участия,2,0)</f>
        <v>#REF!</v>
      </c>
      <c r="K13" s="53" t="e">
        <f>IF('КаякЖ-итог'!$J13=FALSE,0,VLOOKUP('КаякЖ-итог'!$A13,#REF!,COLUMN(#REF!),0))</f>
        <v>#REF!</v>
      </c>
      <c r="L13" s="137" t="e">
        <f>IF('КаякЖ-итог'!$I13&lt;=$P$7,"1 разряд",IF('КаякЖ-итог'!$I13&lt;=$Q$7,"2 разряд",IF('КаякЖ-итог'!$I13&lt;=$R$7,"3 разряд","")))</f>
        <v>#REF!</v>
      </c>
      <c r="M13" s="100" t="e">
        <f>'КаякЖ-итог'!$D13+'КаякЖ-итог'!$E13+'КаякЖ-итог'!$F13</f>
        <v>#REF!</v>
      </c>
    </row>
    <row r="14" spans="1:13" ht="15.75">
      <c r="A14" s="173"/>
      <c r="B14" s="16">
        <f>_xlfn.IFERROR(VLOOKUP(#REF!,#REF!,2,0),0)</f>
        <v>0</v>
      </c>
      <c r="C14" s="161">
        <f>_xlfn.IFERROR(VLOOKUP('КаякЖ-итог'!$A14,#REF!,3,0),0)</f>
        <v>0</v>
      </c>
      <c r="D14" s="62" t="e">
        <f>VLOOKUP('КаякЖ-итог'!$A14,#REF!,COLUMN(#REF!),0)</f>
        <v>#REF!</v>
      </c>
      <c r="E14" s="62" t="e">
        <f>VLOOKUP('КаякЖ-итог'!$A14,#REF!,COLUMN(#REF!),0)</f>
        <v>#REF!</v>
      </c>
      <c r="F14" s="162" t="e">
        <f>'КаякЖ-итог'!$D14+'КаякЖ-итог'!$E14</f>
        <v>#REF!</v>
      </c>
      <c r="G14" s="163" t="e">
        <f>IF((COUNTIF('КаякЖ-итог'!$M$12:$M$16,'КаякЖ-итог'!$M14)-1)=0,RANK('КаякЖ-итог'!$M14,'КаякЖ-итог'!$M$12:$M$16,1),RANK('КаякЖ-итог'!$M14,'КаякЖ-итог'!$M$12:$M$16,1)&amp;"-"&amp;RANK('КаякЖ-итог'!$M14,'КаякЖ-итог'!$M$12:$M$16,1)+COUNTIF('КаякЖ-итог'!$M$12:$M$16,'КаякЖ-итог'!$M14)-1)</f>
        <v>#REF!</v>
      </c>
      <c r="H14" s="135" t="e">
        <f>HLOOKUP(ВидДистанции,ТаблицаБаллов,MATCH('КаякЖ-итог'!$G14,ЗанятоеМесто,0),0)</f>
        <v>#REF!</v>
      </c>
      <c r="I14" s="136" t="e">
        <f>100*'КаякЖ-итог'!$F14/MIN('КаякЖ-итог'!$F$12:$F$16)</f>
        <v>#REF!</v>
      </c>
      <c r="J14" s="21" t="e">
        <f>'КаякЖ-итог'!$G14&lt;=VLOOKUP($O$5,т_вид_участия,2,0)</f>
        <v>#REF!</v>
      </c>
      <c r="K14" s="53" t="e">
        <f>IF('КаякЖ-итог'!$J14=FALSE,0,VLOOKUP('КаякЖ-итог'!$A14,#REF!,COLUMN(#REF!),0))</f>
        <v>#REF!</v>
      </c>
      <c r="L14" s="137" t="e">
        <f>IF('КаякЖ-итог'!$I14&lt;=$P$7,"1 разряд",IF('КаякЖ-итог'!$I14&lt;=$Q$7,"2 разряд",IF('КаякЖ-итог'!$I14&lt;=$R$7,"3 разряд","")))</f>
        <v>#REF!</v>
      </c>
      <c r="M14" s="100" t="e">
        <f>'КаякЖ-итог'!$D14+'КаякЖ-итог'!$E14+'КаякЖ-итог'!$F14</f>
        <v>#REF!</v>
      </c>
    </row>
    <row r="15" spans="1:13" ht="15.75">
      <c r="A15" s="173"/>
      <c r="B15" s="16">
        <f>_xlfn.IFERROR(VLOOKUP(#REF!,#REF!,2,0),0)</f>
        <v>0</v>
      </c>
      <c r="C15" s="161">
        <f>_xlfn.IFERROR(VLOOKUP('КаякЖ-итог'!$A15,#REF!,3,0),0)</f>
        <v>0</v>
      </c>
      <c r="D15" s="62" t="e">
        <f>VLOOKUP('КаякЖ-итог'!$A15,#REF!,COLUMN(#REF!),0)</f>
        <v>#REF!</v>
      </c>
      <c r="E15" s="62" t="e">
        <f>VLOOKUP('КаякЖ-итог'!$A15,#REF!,COLUMN(#REF!),0)</f>
        <v>#REF!</v>
      </c>
      <c r="F15" s="162" t="e">
        <f>'КаякЖ-итог'!$D15+'КаякЖ-итог'!$E15</f>
        <v>#REF!</v>
      </c>
      <c r="G15" s="163" t="e">
        <f>IF((COUNTIF('КаякЖ-итог'!$M$12:$M$16,'КаякЖ-итог'!$M15)-1)=0,RANK('КаякЖ-итог'!$M15,'КаякЖ-итог'!$M$12:$M$16,1),RANK('КаякЖ-итог'!$M15,'КаякЖ-итог'!$M$12:$M$16,1)&amp;"-"&amp;RANK('КаякЖ-итог'!$M15,'КаякЖ-итог'!$M$12:$M$16,1)+COUNTIF('КаякЖ-итог'!$M$12:$M$16,'КаякЖ-итог'!$M15)-1)</f>
        <v>#REF!</v>
      </c>
      <c r="H15" s="135" t="e">
        <f>HLOOKUP(ВидДистанции,ТаблицаБаллов,MATCH('КаякЖ-итог'!$G15,ЗанятоеМесто,0),0)</f>
        <v>#REF!</v>
      </c>
      <c r="I15" s="136" t="e">
        <f>100*'КаякЖ-итог'!$F15/MIN('КаякЖ-итог'!$F$12:$F$16)</f>
        <v>#REF!</v>
      </c>
      <c r="J15" s="21" t="e">
        <f>'КаякЖ-итог'!$G15&lt;=VLOOKUP($O$5,т_вид_участия,2,0)</f>
        <v>#REF!</v>
      </c>
      <c r="K15" s="53" t="e">
        <f>IF('КаякЖ-итог'!$J15=FALSE,0,VLOOKUP('КаякЖ-итог'!$A15,#REF!,COLUMN(#REF!),0))</f>
        <v>#REF!</v>
      </c>
      <c r="L15" s="137" t="e">
        <f>IF('КаякЖ-итог'!$I15&lt;=$P$7,"1 разряд",IF('КаякЖ-итог'!$I15&lt;=$Q$7,"2 разряд",IF('КаякЖ-итог'!$I15&lt;=$R$7,"3 разряд","")))</f>
        <v>#REF!</v>
      </c>
      <c r="M15" s="100" t="e">
        <f>'КаякЖ-итог'!$D15+'КаякЖ-итог'!$E15+'КаякЖ-итог'!$F15</f>
        <v>#REF!</v>
      </c>
    </row>
    <row r="16" spans="1:13" ht="15.75">
      <c r="A16" s="173"/>
      <c r="B16" s="16">
        <f>_xlfn.IFERROR(VLOOKUP(#REF!,#REF!,2,0),0)</f>
        <v>0</v>
      </c>
      <c r="C16" s="161">
        <f>_xlfn.IFERROR(VLOOKUP('КаякЖ-итог'!$A16,#REF!,3,0),0)</f>
        <v>0</v>
      </c>
      <c r="D16" s="62" t="e">
        <f>VLOOKUP('КаякЖ-итог'!$A16,#REF!,COLUMN(#REF!),0)</f>
        <v>#REF!</v>
      </c>
      <c r="E16" s="62" t="e">
        <f>VLOOKUP('КаякЖ-итог'!$A16,#REF!,COLUMN(#REF!),0)</f>
        <v>#REF!</v>
      </c>
      <c r="F16" s="162" t="e">
        <f>'КаякЖ-итог'!$D16+'КаякЖ-итог'!$E16</f>
        <v>#REF!</v>
      </c>
      <c r="G16" s="163" t="e">
        <f>IF((COUNTIF('КаякЖ-итог'!$M$12:$M$16,'КаякЖ-итог'!$M16)-1)=0,RANK('КаякЖ-итог'!$M16,'КаякЖ-итог'!$M$12:$M$16,1),RANK('КаякЖ-итог'!$M16,'КаякЖ-итог'!$M$12:$M$16,1)&amp;"-"&amp;RANK('КаякЖ-итог'!$M16,'КаякЖ-итог'!$M$12:$M$16,1)+COUNTIF('КаякЖ-итог'!$M$12:$M$16,'КаякЖ-итог'!$M16)-1)</f>
        <v>#REF!</v>
      </c>
      <c r="H16" s="135" t="e">
        <f>HLOOKUP(ВидДистанции,ТаблицаБаллов,MATCH('КаякЖ-итог'!$G16,ЗанятоеМесто,0),0)</f>
        <v>#REF!</v>
      </c>
      <c r="I16" s="136" t="e">
        <f>100*'КаякЖ-итог'!$F16/MIN('КаякЖ-итог'!$F$12:$F$16)</f>
        <v>#REF!</v>
      </c>
      <c r="J16" s="21" t="e">
        <f>'КаякЖ-итог'!$G16&lt;=VLOOKUP($O$5,т_вид_участия,2,0)</f>
        <v>#REF!</v>
      </c>
      <c r="K16" s="53" t="e">
        <f>IF('КаякЖ-итог'!$J16=FALSE,0,VLOOKUP('КаякЖ-итог'!$A16,#REF!,COLUMN(#REF!),0))</f>
        <v>#REF!</v>
      </c>
      <c r="L16" s="137" t="e">
        <f>IF('КаякЖ-итог'!$I16&lt;=$P$7,"1 разряд",IF('КаякЖ-итог'!$I16&lt;=$Q$7,"2 разряд",IF('КаякЖ-итог'!$I16&lt;=$R$7,"3 разряд","")))</f>
        <v>#REF!</v>
      </c>
      <c r="M16" s="100" t="e">
        <f>'КаякЖ-итог'!$D16+'КаякЖ-итог'!$E16+'КаякЖ-итог'!$F16</f>
        <v>#REF!</v>
      </c>
    </row>
    <row r="17" spans="1:12" ht="25.5" customHeight="1" outlineLevel="1">
      <c r="A17" s="325" t="s">
        <v>159</v>
      </c>
      <c r="B17" s="325"/>
      <c r="C17" s="325"/>
      <c r="D17" s="325"/>
      <c r="E17" s="325"/>
      <c r="F17" s="325"/>
      <c r="G17" s="181" t="e">
        <f>"Класс дистанции - "&amp;VLOOKUP(ранг,т_класс_дистанции,3,1)&amp;""</f>
        <v>#REF!</v>
      </c>
      <c r="H17" s="321" t="e">
        <f>"Квалификационный ранг  - "&amp;O7</f>
        <v>#REF!</v>
      </c>
      <c r="I17" s="321"/>
      <c r="J17" s="321"/>
      <c r="K17" s="321"/>
      <c r="L17" s="321"/>
    </row>
    <row r="18" spans="1:12" ht="24" customHeight="1" outlineLevel="1">
      <c r="A18" s="325"/>
      <c r="B18" s="325"/>
      <c r="C18" s="325"/>
      <c r="D18" s="325"/>
      <c r="E18" s="325"/>
      <c r="F18" s="325"/>
      <c r="G18" s="181" t="s">
        <v>11</v>
      </c>
      <c r="H18" s="321" t="e">
        <f>IF(P7=0,"не присваивается",P7&amp;" % от результата победителя")</f>
        <v>#REF!</v>
      </c>
      <c r="I18" s="321"/>
      <c r="J18" s="321"/>
      <c r="K18" s="321"/>
      <c r="L18" s="321"/>
    </row>
    <row r="19" spans="1:12" ht="24" customHeight="1" outlineLevel="1">
      <c r="A19" s="26"/>
      <c r="B19" s="26"/>
      <c r="C19" s="27"/>
      <c r="D19" s="28"/>
      <c r="E19" s="25"/>
      <c r="G19" s="181" t="s">
        <v>12</v>
      </c>
      <c r="H19" s="321" t="e">
        <f>IF(Q7=0,"не присваивается",Q7&amp;" % от результата победителя")</f>
        <v>#REF!</v>
      </c>
      <c r="I19" s="321"/>
      <c r="J19" s="321"/>
      <c r="K19" s="321"/>
      <c r="L19" s="321"/>
    </row>
    <row r="20" spans="1:12" ht="24" customHeight="1" outlineLevel="1">
      <c r="A20" s="26"/>
      <c r="B20" s="26"/>
      <c r="C20" s="27"/>
      <c r="D20" s="28"/>
      <c r="E20" s="25"/>
      <c r="G20" s="181" t="s">
        <v>13</v>
      </c>
      <c r="H20" s="321" t="e">
        <f>R7&amp;" % от результата победителя"</f>
        <v>#REF!</v>
      </c>
      <c r="I20" s="321"/>
      <c r="J20" s="321"/>
      <c r="K20" s="321"/>
      <c r="L20" s="321"/>
    </row>
    <row r="21" spans="1:11" ht="15">
      <c r="A21" s="25"/>
      <c r="B21" s="25"/>
      <c r="C21" s="25"/>
      <c r="D21" s="25"/>
      <c r="E21" s="25"/>
      <c r="F21" s="3"/>
      <c r="G21" s="5"/>
      <c r="H21" s="3"/>
      <c r="I21" s="1"/>
      <c r="J21" s="1"/>
      <c r="K21" s="1"/>
    </row>
    <row r="22" spans="1:8" ht="15.75">
      <c r="A22" s="326" t="s">
        <v>7</v>
      </c>
      <c r="B22" s="326"/>
      <c r="C22" s="326"/>
      <c r="D22" s="304"/>
      <c r="E22" s="304"/>
      <c r="F22" s="54" t="e">
        <f>фиосудья</f>
        <v>#REF!</v>
      </c>
      <c r="G22" s="179"/>
      <c r="H22" s="14"/>
    </row>
    <row r="23" spans="1:8" ht="15.75">
      <c r="A23" s="326" t="s">
        <v>6</v>
      </c>
      <c r="B23" s="326"/>
      <c r="C23" s="326"/>
      <c r="D23" s="179"/>
      <c r="E23" s="179"/>
      <c r="F23" s="12" t="e">
        <f>фиосекретарь</f>
        <v>#REF!</v>
      </c>
      <c r="G23" s="179"/>
      <c r="H23" s="14"/>
    </row>
    <row r="24" spans="1:8" ht="15">
      <c r="A24" s="303" t="e">
        <f>дата_протокол</f>
        <v>#REF!</v>
      </c>
      <c r="B24" s="303"/>
      <c r="C24" s="303"/>
      <c r="D24" s="304"/>
      <c r="E24" s="304"/>
      <c r="F24" s="14"/>
      <c r="G24" s="179"/>
      <c r="H24" s="14"/>
    </row>
    <row r="25" spans="1:8" ht="15">
      <c r="A25" s="14"/>
      <c r="B25" s="14"/>
      <c r="C25" s="14"/>
      <c r="D25" s="14"/>
      <c r="E25" s="14"/>
      <c r="F25" s="14"/>
      <c r="G25" s="179"/>
      <c r="H25" s="14"/>
    </row>
    <row r="26" spans="1:8" ht="15">
      <c r="A26" s="14"/>
      <c r="B26" s="14"/>
      <c r="C26" s="14"/>
      <c r="D26" s="14"/>
      <c r="E26" s="14"/>
      <c r="F26" s="14"/>
      <c r="G26" s="179"/>
      <c r="H26" s="14"/>
    </row>
    <row r="27" spans="1:8" ht="15">
      <c r="A27" s="14"/>
      <c r="B27" s="14"/>
      <c r="F27" s="14"/>
      <c r="G27" s="179"/>
      <c r="H27" s="14"/>
    </row>
    <row r="28" spans="1:8" ht="15">
      <c r="A28" s="179"/>
      <c r="B28" s="179"/>
      <c r="F28" s="179"/>
      <c r="G28" s="179"/>
      <c r="H28" s="14"/>
    </row>
    <row r="29" spans="1:8" ht="15">
      <c r="A29" s="14"/>
      <c r="B29" s="14"/>
      <c r="C29" s="14"/>
      <c r="D29" s="14"/>
      <c r="E29" s="14"/>
      <c r="F29" s="14"/>
      <c r="G29" s="179"/>
      <c r="H29" s="14"/>
    </row>
    <row r="30" spans="1:8" ht="15">
      <c r="A30" s="14"/>
      <c r="B30" s="14"/>
      <c r="F30" s="14"/>
      <c r="G30" s="179"/>
      <c r="H30" s="14"/>
    </row>
    <row r="31" spans="1:13" ht="15">
      <c r="A31" s="14"/>
      <c r="B31" s="14"/>
      <c r="F31" s="14"/>
      <c r="G31" s="179"/>
      <c r="H31" s="14"/>
      <c r="I31" s="14"/>
      <c r="J31" s="14"/>
      <c r="K31" s="14"/>
      <c r="L31" s="14"/>
      <c r="M31" s="14"/>
    </row>
    <row r="32" spans="1:13" ht="15">
      <c r="A32" s="14"/>
      <c r="B32" s="14"/>
      <c r="F32" s="14"/>
      <c r="G32" s="179"/>
      <c r="H32" s="14"/>
      <c r="I32" s="14"/>
      <c r="J32" s="14"/>
      <c r="K32" s="14"/>
      <c r="L32" s="14"/>
      <c r="M32" s="14"/>
    </row>
    <row r="33" spans="1:13" ht="15">
      <c r="A33" s="14"/>
      <c r="B33" s="14"/>
      <c r="F33" s="14"/>
      <c r="G33" s="179"/>
      <c r="H33" s="14"/>
      <c r="I33" s="14"/>
      <c r="J33" s="14"/>
      <c r="K33" s="14"/>
      <c r="L33" s="14"/>
      <c r="M33" s="14"/>
    </row>
    <row r="34" spans="1:13" ht="15">
      <c r="A34" s="14"/>
      <c r="B34" s="14"/>
      <c r="F34" s="14"/>
      <c r="G34" s="179"/>
      <c r="H34" s="14"/>
      <c r="I34" s="14"/>
      <c r="J34" s="14"/>
      <c r="K34" s="14"/>
      <c r="L34" s="14"/>
      <c r="M34" s="14"/>
    </row>
    <row r="35" spans="1:13" ht="15">
      <c r="A35" s="14"/>
      <c r="B35" s="14"/>
      <c r="F35" s="14"/>
      <c r="G35" s="179"/>
      <c r="H35" s="14"/>
      <c r="I35" s="14"/>
      <c r="J35" s="14"/>
      <c r="K35" s="14"/>
      <c r="L35" s="14"/>
      <c r="M35" s="14"/>
    </row>
    <row r="36" spans="1:13" ht="15">
      <c r="A36" s="14"/>
      <c r="B36" s="14"/>
      <c r="F36" s="9"/>
      <c r="G36" s="179"/>
      <c r="H36" s="14"/>
      <c r="I36" s="14"/>
      <c r="J36" s="14"/>
      <c r="K36" s="14"/>
      <c r="L36" s="14"/>
      <c r="M36" s="14"/>
    </row>
    <row r="37" spans="6:13" ht="15">
      <c r="F37" s="14"/>
      <c r="G37" s="179"/>
      <c r="H37" s="14"/>
      <c r="I37" s="14"/>
      <c r="J37" s="14"/>
      <c r="K37" s="14"/>
      <c r="L37" s="14"/>
      <c r="M37" s="14"/>
    </row>
    <row r="38" spans="5:13" ht="15">
      <c r="E38" s="14"/>
      <c r="F38" s="14"/>
      <c r="G38" s="179"/>
      <c r="H38" s="14"/>
      <c r="I38" s="14"/>
      <c r="J38" s="14"/>
      <c r="K38" s="14"/>
      <c r="L38" s="14"/>
      <c r="M38" s="14"/>
    </row>
    <row r="39" spans="5:13" ht="15">
      <c r="E39" s="14"/>
      <c r="F39" s="14"/>
      <c r="G39" s="179"/>
      <c r="H39" s="14"/>
      <c r="I39" s="14"/>
      <c r="J39" s="14"/>
      <c r="K39" s="14"/>
      <c r="L39" s="14"/>
      <c r="M39" s="14"/>
    </row>
    <row r="40" spans="5:13" ht="15">
      <c r="E40" s="14"/>
      <c r="F40" s="14"/>
      <c r="G40" s="179"/>
      <c r="H40" s="14"/>
      <c r="I40" s="14"/>
      <c r="J40" s="14"/>
      <c r="K40" s="14"/>
      <c r="L40" s="14"/>
      <c r="M40" s="14"/>
    </row>
    <row r="41" spans="5:13" ht="15">
      <c r="E41" s="14"/>
      <c r="F41" s="14"/>
      <c r="G41" s="179"/>
      <c r="H41" s="14"/>
      <c r="I41" s="14"/>
      <c r="J41" s="14"/>
      <c r="K41" s="14"/>
      <c r="L41" s="14"/>
      <c r="M41" s="14"/>
    </row>
    <row r="42" spans="5:13" ht="15">
      <c r="E42" s="14"/>
      <c r="F42" s="14"/>
      <c r="G42" s="179"/>
      <c r="H42" s="14"/>
      <c r="I42" s="14"/>
      <c r="J42" s="14"/>
      <c r="K42" s="14"/>
      <c r="L42" s="14"/>
      <c r="M42" s="14"/>
    </row>
    <row r="43" spans="5:13" ht="15">
      <c r="E43" s="14"/>
      <c r="F43" s="14"/>
      <c r="G43" s="179"/>
      <c r="H43" s="14"/>
      <c r="I43" s="14"/>
      <c r="J43" s="14"/>
      <c r="K43" s="14"/>
      <c r="L43" s="14"/>
      <c r="M43" s="14"/>
    </row>
    <row r="44" spans="6:13" ht="15">
      <c r="F44" s="14"/>
      <c r="G44" s="179"/>
      <c r="H44" s="14"/>
      <c r="I44" s="14"/>
      <c r="J44" s="14"/>
      <c r="K44" s="14"/>
      <c r="L44" s="14"/>
      <c r="M44" s="14"/>
    </row>
    <row r="45" spans="6:13" ht="15">
      <c r="F45" s="14"/>
      <c r="G45" s="179"/>
      <c r="H45" s="14"/>
      <c r="I45" s="14"/>
      <c r="J45" s="14"/>
      <c r="K45" s="14"/>
      <c r="L45" s="14"/>
      <c r="M45" s="14"/>
    </row>
  </sheetData>
  <sheetProtection/>
  <mergeCells count="23">
    <mergeCell ref="A22:C22"/>
    <mergeCell ref="D22:E22"/>
    <mergeCell ref="A23:C23"/>
    <mergeCell ref="A24:C24"/>
    <mergeCell ref="D24:E24"/>
    <mergeCell ref="H20:L20"/>
    <mergeCell ref="B5:C5"/>
    <mergeCell ref="D5:L5"/>
    <mergeCell ref="B6:C6"/>
    <mergeCell ref="D6:L6"/>
    <mergeCell ref="B7:C7"/>
    <mergeCell ref="D7:L7"/>
    <mergeCell ref="A10:L10"/>
    <mergeCell ref="A17:F18"/>
    <mergeCell ref="H17:L17"/>
    <mergeCell ref="H18:L18"/>
    <mergeCell ref="H19:L19"/>
    <mergeCell ref="B1:C2"/>
    <mergeCell ref="D1:L2"/>
    <mergeCell ref="B3:C3"/>
    <mergeCell ref="D3:L3"/>
    <mergeCell ref="B4:C4"/>
    <mergeCell ref="D4:L4"/>
  </mergeCells>
  <dataValidations count="5">
    <dataValidation type="list" allowBlank="1" showInputMessage="1" showErrorMessage="1" sqref="D4">
      <formula1>дисциплины</formula1>
    </dataValidation>
    <dataValidation type="time" operator="greaterThanOrEqual" allowBlank="1" showInputMessage="1" showErrorMessage="1" sqref="D12:D16 E12">
      <formula1>0</formula1>
    </dataValidation>
    <dataValidation type="whole" operator="greaterThan" allowBlank="1" showErrorMessage="1" errorTitle="Внимание!" error="Данные в этой ячейке должны быть целым числом без любых дополнительных знаков." sqref="B12:B16">
      <formula1>0</formula1>
    </dataValidation>
    <dataValidation type="list" allowBlank="1" showInputMessage="1" showErrorMessage="1" sqref="O5">
      <formula1>вид_участия</formula1>
    </dataValidation>
    <dataValidation type="list" allowBlank="1" showInputMessage="1" showErrorMessage="1" sqref="O2">
      <formula1>дистанцииБаллы</formula1>
    </dataValidation>
  </dataValidations>
  <printOptions/>
  <pageMargins left="0.5905511811023623" right="0.5905511811023623" top="0.5905511811023623" bottom="0.5905511811023623" header="0" footer="0"/>
  <pageSetup fitToHeight="1" fitToWidth="1" horizontalDpi="300" verticalDpi="300" orientation="landscape" paperSize="9" scale="98" r:id="rId5"/>
  <drawing r:id="rId4"/>
  <legacyDrawing r:id="rId2"/>
  <tableParts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S36"/>
  <sheetViews>
    <sheetView zoomScalePageLayoutView="0" workbookViewId="0" topLeftCell="A1">
      <selection activeCell="H19" sqref="H19"/>
    </sheetView>
  </sheetViews>
  <sheetFormatPr defaultColWidth="9.140625" defaultRowHeight="15"/>
  <cols>
    <col min="1" max="1" width="10.28125" style="14" customWidth="1"/>
    <col min="2" max="2" width="7.8515625" style="14" customWidth="1"/>
    <col min="3" max="3" width="11.421875" style="14" customWidth="1"/>
    <col min="4" max="5" width="11.7109375" style="14" customWidth="1"/>
    <col min="6" max="6" width="10.00390625" style="14" customWidth="1"/>
    <col min="7" max="7" width="12.00390625" style="179" customWidth="1"/>
    <col min="8" max="8" width="12.421875" style="14" customWidth="1"/>
    <col min="9" max="9" width="12.7109375" style="14" customWidth="1" collapsed="1"/>
    <col min="10" max="10" width="12.7109375" style="14" customWidth="1"/>
    <col min="11" max="11" width="12.7109375" style="14" customWidth="1" collapsed="1"/>
    <col min="12" max="12" width="19.140625" style="14" customWidth="1" collapsed="1"/>
    <col min="13" max="14" width="9.140625" style="14" customWidth="1" collapsed="1"/>
    <col min="15" max="15" width="16.421875" style="14" customWidth="1"/>
    <col min="16" max="18" width="9.140625" style="14" customWidth="1"/>
    <col min="19" max="19" width="17.140625" style="14" customWidth="1"/>
    <col min="20" max="16384" width="9.140625" style="14" customWidth="1"/>
  </cols>
  <sheetData>
    <row r="1" spans="1:15" ht="15.75">
      <c r="A1" s="80"/>
      <c r="B1" s="80"/>
      <c r="C1" s="80"/>
      <c r="D1" s="199"/>
      <c r="E1" s="199"/>
      <c r="F1" s="199"/>
      <c r="G1" s="199"/>
      <c r="H1" s="199"/>
      <c r="I1" s="199"/>
      <c r="J1" s="199"/>
      <c r="K1" s="199"/>
      <c r="L1" s="199"/>
      <c r="O1" s="200"/>
    </row>
    <row r="2" spans="1:15" ht="15.75">
      <c r="A2" s="80"/>
      <c r="B2" s="80"/>
      <c r="C2" s="80"/>
      <c r="D2" s="199"/>
      <c r="E2" s="199"/>
      <c r="F2" s="199"/>
      <c r="G2" s="199"/>
      <c r="H2" s="199"/>
      <c r="I2" s="199"/>
      <c r="J2" s="199"/>
      <c r="K2" s="199"/>
      <c r="L2" s="199"/>
      <c r="O2" s="201"/>
    </row>
    <row r="3" spans="2:12" ht="15.75">
      <c r="B3" s="202"/>
      <c r="C3" s="202"/>
      <c r="D3" s="203"/>
      <c r="E3" s="203"/>
      <c r="F3" s="203"/>
      <c r="G3" s="203"/>
      <c r="H3" s="203"/>
      <c r="I3" s="203"/>
      <c r="J3" s="203"/>
      <c r="K3" s="203"/>
      <c r="L3" s="203"/>
    </row>
    <row r="4" spans="2:15" ht="15.75" customHeight="1">
      <c r="B4" s="203"/>
      <c r="C4" s="203"/>
      <c r="D4" s="204"/>
      <c r="E4" s="204"/>
      <c r="F4" s="204"/>
      <c r="G4" s="204"/>
      <c r="H4" s="204"/>
      <c r="I4" s="204"/>
      <c r="J4" s="204"/>
      <c r="K4" s="204"/>
      <c r="L4" s="204"/>
      <c r="O4" s="205"/>
    </row>
    <row r="5" spans="2:15" ht="15.75">
      <c r="B5" s="203"/>
      <c r="C5" s="203"/>
      <c r="D5" s="206"/>
      <c r="E5" s="206"/>
      <c r="F5" s="206"/>
      <c r="G5" s="206"/>
      <c r="H5" s="206"/>
      <c r="I5" s="206"/>
      <c r="J5" s="206"/>
      <c r="K5" s="206"/>
      <c r="L5" s="206"/>
      <c r="O5" s="201"/>
    </row>
    <row r="6" spans="2:19" ht="15.75" customHeight="1"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203"/>
      <c r="O6" s="86"/>
      <c r="P6" s="86"/>
      <c r="Q6" s="86"/>
      <c r="R6" s="86"/>
      <c r="S6" s="207"/>
    </row>
    <row r="7" spans="2:19" ht="16.5" customHeight="1"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03"/>
      <c r="O7" s="85"/>
      <c r="P7" s="179"/>
      <c r="Q7" s="179"/>
      <c r="R7" s="179"/>
      <c r="S7" s="86"/>
    </row>
    <row r="8" spans="1:19" ht="15.75" customHeight="1">
      <c r="A8" s="13"/>
      <c r="B8" s="13"/>
      <c r="C8" s="13"/>
      <c r="D8" s="13"/>
      <c r="E8" s="13"/>
      <c r="F8" s="13"/>
      <c r="G8" s="13"/>
      <c r="H8" s="13"/>
      <c r="I8" s="13"/>
      <c r="J8" s="23"/>
      <c r="K8" s="23"/>
      <c r="L8" s="3"/>
      <c r="O8" s="85"/>
      <c r="P8" s="179"/>
      <c r="Q8" s="179"/>
      <c r="R8" s="179"/>
      <c r="S8" s="86"/>
    </row>
    <row r="9" spans="1:12" ht="15">
      <c r="A9" s="3"/>
      <c r="B9" s="3"/>
      <c r="C9" s="3"/>
      <c r="D9" s="3"/>
      <c r="E9" s="3"/>
      <c r="F9" s="3"/>
      <c r="G9" s="5"/>
      <c r="H9" s="3"/>
      <c r="I9" s="3"/>
      <c r="J9" s="3"/>
      <c r="K9" s="3"/>
      <c r="L9" s="3"/>
    </row>
    <row r="10" spans="1:12" ht="15.75">
      <c r="A10" s="208"/>
      <c r="B10" s="208"/>
      <c r="C10" s="208"/>
      <c r="D10" s="208"/>
      <c r="E10" s="208"/>
      <c r="F10" s="208"/>
      <c r="G10" s="208"/>
      <c r="H10" s="208"/>
      <c r="I10" s="208"/>
      <c r="J10" s="208"/>
      <c r="K10" s="208"/>
      <c r="L10" s="208"/>
    </row>
    <row r="11" spans="1:13" ht="15.75">
      <c r="A11" s="209"/>
      <c r="B11" s="210"/>
      <c r="C11" s="211"/>
      <c r="D11" s="212"/>
      <c r="E11" s="212"/>
      <c r="F11" s="213"/>
      <c r="G11" s="214"/>
      <c r="H11" s="215"/>
      <c r="I11" s="216"/>
      <c r="J11" s="216"/>
      <c r="K11" s="216"/>
      <c r="L11" s="217"/>
      <c r="M11" s="218"/>
    </row>
    <row r="12" spans="1:13" ht="18" customHeight="1">
      <c r="A12" s="219"/>
      <c r="B12" s="75"/>
      <c r="C12" s="220"/>
      <c r="D12" s="89"/>
      <c r="E12" s="89"/>
      <c r="F12" s="221"/>
      <c r="G12" s="222"/>
      <c r="H12" s="90"/>
      <c r="I12" s="223"/>
      <c r="J12" s="224"/>
      <c r="K12" s="225"/>
      <c r="L12" s="226"/>
      <c r="M12" s="227"/>
    </row>
    <row r="13" spans="1:13" ht="15.75">
      <c r="A13" s="219"/>
      <c r="B13" s="75"/>
      <c r="C13" s="220"/>
      <c r="D13" s="89"/>
      <c r="E13" s="89"/>
      <c r="F13" s="221"/>
      <c r="G13" s="222"/>
      <c r="H13" s="90"/>
      <c r="I13" s="223"/>
      <c r="J13" s="224"/>
      <c r="K13" s="225"/>
      <c r="L13" s="226"/>
      <c r="M13" s="227"/>
    </row>
    <row r="14" spans="1:13" ht="15.75">
      <c r="A14" s="219"/>
      <c r="B14" s="75"/>
      <c r="C14" s="220"/>
      <c r="D14" s="89"/>
      <c r="E14" s="89"/>
      <c r="F14" s="221"/>
      <c r="G14" s="222"/>
      <c r="H14" s="90"/>
      <c r="I14" s="223"/>
      <c r="J14" s="224"/>
      <c r="K14" s="225"/>
      <c r="L14" s="226"/>
      <c r="M14" s="227"/>
    </row>
    <row r="15" spans="1:13" ht="15.75">
      <c r="A15" s="219"/>
      <c r="B15" s="75"/>
      <c r="C15" s="220"/>
      <c r="D15" s="89"/>
      <c r="E15" s="89"/>
      <c r="F15" s="221"/>
      <c r="G15" s="222"/>
      <c r="H15" s="90"/>
      <c r="I15" s="223"/>
      <c r="J15" s="224"/>
      <c r="K15" s="225"/>
      <c r="L15" s="226"/>
      <c r="M15" s="227"/>
    </row>
    <row r="16" spans="1:13" ht="15.75">
      <c r="A16" s="219"/>
      <c r="B16" s="75"/>
      <c r="C16" s="220"/>
      <c r="D16" s="89"/>
      <c r="E16" s="89"/>
      <c r="F16" s="221"/>
      <c r="G16" s="222"/>
      <c r="H16" s="90"/>
      <c r="I16" s="223"/>
      <c r="J16" s="224"/>
      <c r="K16" s="225"/>
      <c r="L16" s="226"/>
      <c r="M16" s="227"/>
    </row>
    <row r="17" spans="1:12" ht="25.5" customHeight="1">
      <c r="A17" s="228"/>
      <c r="B17" s="228"/>
      <c r="C17" s="228"/>
      <c r="D17" s="228"/>
      <c r="E17" s="228"/>
      <c r="F17" s="228"/>
      <c r="G17" s="29"/>
      <c r="H17" s="29"/>
      <c r="I17" s="29"/>
      <c r="J17" s="29"/>
      <c r="K17" s="29"/>
      <c r="L17" s="29"/>
    </row>
    <row r="18" spans="1:12" ht="24" customHeight="1">
      <c r="A18" s="228"/>
      <c r="B18" s="228"/>
      <c r="C18" s="228"/>
      <c r="D18" s="228"/>
      <c r="E18" s="228"/>
      <c r="F18" s="228"/>
      <c r="G18" s="29"/>
      <c r="H18" s="29"/>
      <c r="I18" s="29"/>
      <c r="J18" s="29"/>
      <c r="K18" s="29"/>
      <c r="L18" s="29"/>
    </row>
    <row r="19" spans="1:12" ht="24" customHeight="1">
      <c r="A19" s="26"/>
      <c r="B19" s="26"/>
      <c r="C19" s="27"/>
      <c r="D19" s="28"/>
      <c r="E19" s="9"/>
      <c r="G19" s="29"/>
      <c r="H19" s="29"/>
      <c r="I19" s="29"/>
      <c r="J19" s="29"/>
      <c r="K19" s="29"/>
      <c r="L19" s="29"/>
    </row>
    <row r="20" spans="1:12" ht="24" customHeight="1">
      <c r="A20" s="26"/>
      <c r="B20" s="26"/>
      <c r="C20" s="27"/>
      <c r="D20" s="28"/>
      <c r="E20" s="9"/>
      <c r="G20" s="29"/>
      <c r="H20" s="29"/>
      <c r="I20" s="29"/>
      <c r="J20" s="29"/>
      <c r="K20" s="29"/>
      <c r="L20" s="29"/>
    </row>
    <row r="21" spans="1:11" ht="15">
      <c r="A21" s="9"/>
      <c r="B21" s="9"/>
      <c r="C21" s="9"/>
      <c r="D21" s="9"/>
      <c r="E21" s="9"/>
      <c r="F21" s="3"/>
      <c r="G21" s="5"/>
      <c r="H21" s="3"/>
      <c r="I21" s="3"/>
      <c r="J21" s="3"/>
      <c r="K21" s="3"/>
    </row>
    <row r="22" spans="1:6" ht="15.75">
      <c r="A22" s="80"/>
      <c r="B22" s="80"/>
      <c r="C22" s="80"/>
      <c r="D22" s="197"/>
      <c r="E22" s="197"/>
      <c r="F22" s="54"/>
    </row>
    <row r="23" spans="1:6" ht="15.75">
      <c r="A23" s="80"/>
      <c r="B23" s="80"/>
      <c r="C23" s="80"/>
      <c r="D23" s="179"/>
      <c r="E23" s="179"/>
      <c r="F23" s="12"/>
    </row>
    <row r="24" spans="1:5" ht="15">
      <c r="A24" s="198"/>
      <c r="B24" s="198"/>
      <c r="C24" s="198"/>
      <c r="D24" s="197"/>
      <c r="E24" s="197"/>
    </row>
    <row r="28" spans="1:6" ht="15">
      <c r="A28" s="179"/>
      <c r="B28" s="179"/>
      <c r="F28" s="179"/>
    </row>
    <row r="36" ht="15">
      <c r="F36" s="9"/>
    </row>
  </sheetData>
  <sheetProtection/>
  <dataValidations count="7">
    <dataValidation type="list" allowBlank="1" showInputMessage="1" showErrorMessage="1" sqref="O2">
      <formula1>дистанцииБаллы</formula1>
    </dataValidation>
    <dataValidation type="list" allowBlank="1" showInputMessage="1" showErrorMessage="1" sqref="O5">
      <formula1>вид_участия</formula1>
    </dataValidation>
    <dataValidation type="whole" operator="greaterThan" allowBlank="1" showErrorMessage="1" errorTitle="Внимание!" error="Данные в этой ячейке должны быть целым числом без любых дополнительных знаков." sqref="B12:B16">
      <formula1>0</formula1>
    </dataValidation>
    <dataValidation type="time" operator="greaterThanOrEqual" allowBlank="1" showInputMessage="1" showErrorMessage="1" sqref="D13:D16">
      <formula1>0</formula1>
    </dataValidation>
    <dataValidation type="list" allowBlank="1" showInputMessage="1" showErrorMessage="1" sqref="D4">
      <formula1>дисциплины</formula1>
    </dataValidation>
    <dataValidation errorStyle="information" type="time" operator="greaterThanOrEqual" allowBlank="1" errorTitle="сообщениеаа" sqref="D12">
      <formula1>0</formula1>
    </dataValidation>
    <dataValidation type="time" operator="greaterThanOrEqual" allowBlank="1" showInputMessage="1" sqref="E12">
      <formula1>0</formula1>
    </dataValidation>
  </dataValidations>
  <printOptions/>
  <pageMargins left="0.5905511811023623" right="0.5905511811023623" top="0.5905511811023623" bottom="0.5905511811023623" header="0" footer="0"/>
  <pageSetup fitToHeight="1" fitToWidth="1" horizontalDpi="300" verticalDpi="300"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AF29"/>
  <sheetViews>
    <sheetView zoomScalePageLayoutView="0" workbookViewId="0" topLeftCell="A1">
      <selection activeCell="D6" sqref="D6:AE6"/>
    </sheetView>
  </sheetViews>
  <sheetFormatPr defaultColWidth="9.140625" defaultRowHeight="15" outlineLevelCol="1"/>
  <cols>
    <col min="1" max="1" width="8.57421875" style="111" customWidth="1"/>
    <col min="2" max="2" width="7.8515625" style="111" customWidth="1"/>
    <col min="3" max="3" width="36.28125" style="111" customWidth="1"/>
    <col min="4" max="5" width="11.7109375" style="111" customWidth="1"/>
    <col min="6" max="6" width="7.421875" style="111" hidden="1" customWidth="1" outlineLevel="1"/>
    <col min="7" max="7" width="11.7109375" style="125" bestFit="1" customWidth="1" collapsed="1"/>
    <col min="8" max="8" width="5.8515625" style="111" hidden="1" customWidth="1" outlineLevel="1"/>
    <col min="9" max="9" width="6.28125" style="111" customWidth="1" collapsed="1"/>
    <col min="10" max="16" width="5.28125" style="111" customWidth="1"/>
    <col min="17" max="17" width="5.28125" style="111" hidden="1" customWidth="1"/>
    <col min="18" max="27" width="5.28125" style="111" customWidth="1"/>
    <col min="28" max="28" width="5.28125" style="111" hidden="1" customWidth="1"/>
    <col min="29" max="29" width="8.421875" style="111" customWidth="1"/>
    <col min="30" max="30" width="9.57421875" style="111" customWidth="1"/>
    <col min="31" max="31" width="10.00390625" style="111" customWidth="1"/>
    <col min="32" max="16384" width="9.140625" style="111" customWidth="1"/>
  </cols>
  <sheetData>
    <row r="1" spans="1:31" ht="26.25" customHeight="1">
      <c r="A1" s="80"/>
      <c r="B1" s="288"/>
      <c r="C1" s="288"/>
      <c r="D1" s="289" t="s">
        <v>157</v>
      </c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  <c r="T1" s="290"/>
      <c r="U1" s="290"/>
      <c r="V1" s="290"/>
      <c r="W1" s="290"/>
      <c r="X1" s="290"/>
      <c r="Y1" s="290"/>
      <c r="Z1" s="290"/>
      <c r="AA1" s="290"/>
      <c r="AB1" s="290"/>
      <c r="AC1" s="290"/>
      <c r="AD1" s="290"/>
      <c r="AE1" s="291"/>
    </row>
    <row r="2" spans="1:31" ht="22.5" customHeight="1">
      <c r="A2" s="81"/>
      <c r="B2" s="288"/>
      <c r="C2" s="288"/>
      <c r="D2" s="292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W2" s="293"/>
      <c r="X2" s="293"/>
      <c r="Y2" s="293"/>
      <c r="Z2" s="293"/>
      <c r="AA2" s="293"/>
      <c r="AB2" s="293"/>
      <c r="AC2" s="293"/>
      <c r="AD2" s="293"/>
      <c r="AE2" s="294"/>
    </row>
    <row r="3" spans="2:31" ht="15.75" customHeight="1">
      <c r="B3" s="295" t="s">
        <v>1</v>
      </c>
      <c r="C3" s="296"/>
      <c r="D3" s="297" t="e">
        <f>РангСоревнований</f>
        <v>#REF!</v>
      </c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97"/>
      <c r="R3" s="297"/>
      <c r="S3" s="297"/>
      <c r="T3" s="297"/>
      <c r="U3" s="297"/>
      <c r="V3" s="297"/>
      <c r="W3" s="297"/>
      <c r="X3" s="297"/>
      <c r="Y3" s="297"/>
      <c r="Z3" s="297"/>
      <c r="AA3" s="297"/>
      <c r="AB3" s="297"/>
      <c r="AC3" s="297"/>
      <c r="AD3" s="297"/>
      <c r="AE3" s="297"/>
    </row>
    <row r="4" spans="2:31" ht="15.75" customHeight="1">
      <c r="B4" s="298" t="s">
        <v>2</v>
      </c>
      <c r="C4" s="299"/>
      <c r="D4" s="300" t="s">
        <v>47</v>
      </c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1"/>
      <c r="P4" s="301"/>
      <c r="Q4" s="301"/>
      <c r="R4" s="301"/>
      <c r="S4" s="301"/>
      <c r="T4" s="301"/>
      <c r="U4" s="301"/>
      <c r="V4" s="301"/>
      <c r="W4" s="301"/>
      <c r="X4" s="301"/>
      <c r="Y4" s="301"/>
      <c r="Z4" s="301"/>
      <c r="AA4" s="301"/>
      <c r="AB4" s="301"/>
      <c r="AC4" s="301"/>
      <c r="AD4" s="301"/>
      <c r="AE4" s="302"/>
    </row>
    <row r="5" spans="2:31" ht="15.75" customHeight="1">
      <c r="B5" s="298" t="s">
        <v>3</v>
      </c>
      <c r="C5" s="299"/>
      <c r="D5" s="305" t="s">
        <v>169</v>
      </c>
      <c r="E5" s="305"/>
      <c r="F5" s="305"/>
      <c r="G5" s="305"/>
      <c r="H5" s="305"/>
      <c r="I5" s="305"/>
      <c r="J5" s="305"/>
      <c r="K5" s="305"/>
      <c r="L5" s="305"/>
      <c r="M5" s="305"/>
      <c r="N5" s="305"/>
      <c r="O5" s="305"/>
      <c r="P5" s="305"/>
      <c r="Q5" s="305"/>
      <c r="R5" s="305"/>
      <c r="S5" s="305"/>
      <c r="T5" s="305"/>
      <c r="U5" s="305"/>
      <c r="V5" s="305"/>
      <c r="W5" s="305"/>
      <c r="X5" s="305"/>
      <c r="Y5" s="305"/>
      <c r="Z5" s="305"/>
      <c r="AA5" s="305"/>
      <c r="AB5" s="305"/>
      <c r="AC5" s="305"/>
      <c r="AD5" s="305"/>
      <c r="AE5" s="305"/>
    </row>
    <row r="6" spans="2:31" ht="15.75" customHeight="1">
      <c r="B6" s="298" t="s">
        <v>4</v>
      </c>
      <c r="C6" s="299"/>
      <c r="D6" s="306"/>
      <c r="E6" s="306"/>
      <c r="F6" s="306"/>
      <c r="G6" s="306"/>
      <c r="H6" s="306"/>
      <c r="I6" s="306"/>
      <c r="J6" s="306"/>
      <c r="K6" s="306"/>
      <c r="L6" s="306"/>
      <c r="M6" s="306"/>
      <c r="N6" s="306"/>
      <c r="O6" s="306"/>
      <c r="P6" s="306"/>
      <c r="Q6" s="306"/>
      <c r="R6" s="306"/>
      <c r="S6" s="306"/>
      <c r="T6" s="306"/>
      <c r="U6" s="306"/>
      <c r="V6" s="306"/>
      <c r="W6" s="306"/>
      <c r="X6" s="306"/>
      <c r="Y6" s="306"/>
      <c r="Z6" s="306"/>
      <c r="AA6" s="306"/>
      <c r="AB6" s="306"/>
      <c r="AC6" s="306"/>
      <c r="AD6" s="306"/>
      <c r="AE6" s="306"/>
    </row>
    <row r="7" spans="2:31" ht="15.75" customHeight="1">
      <c r="B7" s="298" t="s">
        <v>5</v>
      </c>
      <c r="C7" s="299"/>
      <c r="D7" s="306"/>
      <c r="E7" s="306"/>
      <c r="F7" s="306"/>
      <c r="G7" s="306"/>
      <c r="H7" s="306"/>
      <c r="I7" s="306"/>
      <c r="J7" s="306"/>
      <c r="K7" s="306"/>
      <c r="L7" s="306"/>
      <c r="M7" s="306"/>
      <c r="N7" s="306"/>
      <c r="O7" s="306"/>
      <c r="P7" s="306"/>
      <c r="Q7" s="306"/>
      <c r="R7" s="306"/>
      <c r="S7" s="306"/>
      <c r="T7" s="306"/>
      <c r="U7" s="306"/>
      <c r="V7" s="306"/>
      <c r="W7" s="306"/>
      <c r="X7" s="306"/>
      <c r="Y7" s="306"/>
      <c r="Z7" s="306"/>
      <c r="AA7" s="306"/>
      <c r="AB7" s="306"/>
      <c r="AC7" s="306"/>
      <c r="AD7" s="306"/>
      <c r="AE7" s="306"/>
    </row>
    <row r="8" spans="1:31" ht="15">
      <c r="A8" s="1"/>
      <c r="B8" s="1"/>
      <c r="C8" s="1"/>
      <c r="D8" s="1"/>
      <c r="E8" s="1"/>
      <c r="F8" s="1"/>
      <c r="G8" s="122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2:31" ht="15.75">
      <c r="B9" s="307" t="s">
        <v>139</v>
      </c>
      <c r="C9" s="307"/>
      <c r="D9" s="307"/>
      <c r="E9" s="307"/>
      <c r="F9" s="307"/>
      <c r="G9" s="307"/>
      <c r="H9" s="307"/>
      <c r="I9" s="307"/>
      <c r="J9" s="307"/>
      <c r="K9" s="307"/>
      <c r="L9" s="307"/>
      <c r="M9" s="307"/>
      <c r="N9" s="307"/>
      <c r="O9" s="307"/>
      <c r="P9" s="307"/>
      <c r="Q9" s="307"/>
      <c r="R9" s="307"/>
      <c r="S9" s="307"/>
      <c r="T9" s="307"/>
      <c r="U9" s="307"/>
      <c r="V9" s="307"/>
      <c r="W9" s="307"/>
      <c r="X9" s="307"/>
      <c r="Y9" s="307"/>
      <c r="Z9" s="307"/>
      <c r="AA9" s="307"/>
      <c r="AB9" s="307"/>
      <c r="AC9" s="307"/>
      <c r="AD9" s="307"/>
      <c r="AE9" s="307"/>
    </row>
    <row r="10" spans="1:31" ht="20.25" customHeight="1">
      <c r="A10" s="83"/>
      <c r="B10" s="308"/>
      <c r="C10" s="309"/>
      <c r="D10" s="309"/>
      <c r="E10" s="309"/>
      <c r="F10" s="309"/>
      <c r="G10" s="310"/>
      <c r="H10" s="84"/>
      <c r="I10" s="311" t="s">
        <v>194</v>
      </c>
      <c r="J10" s="312"/>
      <c r="K10" s="312"/>
      <c r="L10" s="312"/>
      <c r="M10" s="312"/>
      <c r="N10" s="312"/>
      <c r="O10" s="312"/>
      <c r="P10" s="312"/>
      <c r="Q10" s="312"/>
      <c r="R10" s="312"/>
      <c r="S10" s="312"/>
      <c r="T10" s="312"/>
      <c r="U10" s="312"/>
      <c r="V10" s="312"/>
      <c r="W10" s="312"/>
      <c r="X10" s="312"/>
      <c r="Y10" s="312"/>
      <c r="Z10" s="312"/>
      <c r="AA10" s="312"/>
      <c r="AB10" s="313"/>
      <c r="AC10" s="311" t="s">
        <v>34</v>
      </c>
      <c r="AD10" s="313"/>
      <c r="AE10" s="180"/>
    </row>
    <row r="11" spans="1:31" ht="77.25" customHeight="1">
      <c r="A11" s="79" t="s">
        <v>154</v>
      </c>
      <c r="B11" s="15" t="s">
        <v>39</v>
      </c>
      <c r="C11" s="60" t="s">
        <v>41</v>
      </c>
      <c r="D11" s="40" t="s">
        <v>37</v>
      </c>
      <c r="E11" s="40" t="s">
        <v>36</v>
      </c>
      <c r="F11" s="40" t="s">
        <v>35</v>
      </c>
      <c r="G11" s="128" t="s">
        <v>149</v>
      </c>
      <c r="H11" s="61" t="s">
        <v>38</v>
      </c>
      <c r="I11" s="38" t="s">
        <v>17</v>
      </c>
      <c r="J11" s="38" t="s">
        <v>16</v>
      </c>
      <c r="K11" s="38" t="s">
        <v>19</v>
      </c>
      <c r="L11" s="38" t="s">
        <v>15</v>
      </c>
      <c r="M11" s="38" t="s">
        <v>30</v>
      </c>
      <c r="N11" s="38" t="s">
        <v>20</v>
      </c>
      <c r="O11" s="38" t="s">
        <v>26</v>
      </c>
      <c r="P11" s="38" t="s">
        <v>141</v>
      </c>
      <c r="Q11" s="38" t="s">
        <v>21</v>
      </c>
      <c r="R11" s="38" t="s">
        <v>29</v>
      </c>
      <c r="S11" s="38" t="s">
        <v>27</v>
      </c>
      <c r="T11" s="38" t="s">
        <v>25</v>
      </c>
      <c r="U11" s="38" t="s">
        <v>18</v>
      </c>
      <c r="V11" s="38" t="s">
        <v>140</v>
      </c>
      <c r="W11" s="38" t="s">
        <v>22</v>
      </c>
      <c r="X11" s="38" t="s">
        <v>23</v>
      </c>
      <c r="Y11" s="38" t="s">
        <v>24</v>
      </c>
      <c r="Z11" s="38" t="s">
        <v>184</v>
      </c>
      <c r="AA11" s="38" t="s">
        <v>192</v>
      </c>
      <c r="AB11" s="38" t="s">
        <v>193</v>
      </c>
      <c r="AC11" s="15" t="s">
        <v>9</v>
      </c>
      <c r="AD11" s="19" t="s">
        <v>32</v>
      </c>
      <c r="AE11" s="20" t="s">
        <v>150</v>
      </c>
    </row>
    <row r="12" spans="1:31" ht="18" customHeight="1">
      <c r="A12" s="173"/>
      <c r="B12" s="16">
        <f>_xlfn.IFERROR(VLOOKUP('К2-Ж-1п'!$A12,#REF!,2,0),0)</f>
        <v>0</v>
      </c>
      <c r="C12" s="71">
        <f>_xlfn.IFERROR(VLOOKUP('К2-Ж-1п'!$A12,#REF!,3,0),0)</f>
        <v>0</v>
      </c>
      <c r="D12" s="37">
        <v>0</v>
      </c>
      <c r="E12" s="37">
        <v>0</v>
      </c>
      <c r="F12" s="37"/>
      <c r="G12" s="73">
        <f>'К2-Ж-1п'!$E12-'К2-Ж-1п'!$D12</f>
        <v>0</v>
      </c>
      <c r="H12" s="16">
        <f>IF(TYPE(H11)=1,IF(H11=1,2,1),1)</f>
        <v>1</v>
      </c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16">
        <f>SUM('К2-Ж-1п'!$I12:$AB12)</f>
        <v>0</v>
      </c>
      <c r="AD12" s="7" t="e">
        <f>'К2-Ж-1п'!$AC12*ЦенаБалла</f>
        <v>#REF!</v>
      </c>
      <c r="AE12" s="6" t="e">
        <f>'К2-Ж-1п'!$G12+'К2-Ж-1п'!$AD12</f>
        <v>#REF!</v>
      </c>
    </row>
    <row r="13" spans="1:31" ht="15.75">
      <c r="A13" s="173"/>
      <c r="B13" s="16">
        <f>_xlfn.IFERROR(VLOOKUP('К2-Ж-1п'!$A13,#REF!,2,0),0)</f>
        <v>0</v>
      </c>
      <c r="C13" s="71">
        <f>_xlfn.IFERROR(VLOOKUP('К2-Ж-1п'!$A13,#REF!,3,0),0)</f>
        <v>0</v>
      </c>
      <c r="D13" s="37"/>
      <c r="E13" s="37"/>
      <c r="F13" s="37"/>
      <c r="G13" s="73">
        <f>'К2-Ж-1п'!$E13-'К2-Ж-1п'!$D13</f>
        <v>0</v>
      </c>
      <c r="H13" s="16">
        <f>IF(TYPE(H12)=1,IF(H12=1,2,1),1)</f>
        <v>2</v>
      </c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16">
        <f>SUM('К2-Ж-1п'!$I13:$AB13)</f>
        <v>0</v>
      </c>
      <c r="AD13" s="7" t="e">
        <f>'К2-Ж-1п'!$AC13*ЦенаБалла</f>
        <v>#REF!</v>
      </c>
      <c r="AE13" s="6" t="e">
        <f>'К2-Ж-1п'!$G13+'К2-Ж-1п'!$AD13</f>
        <v>#REF!</v>
      </c>
    </row>
    <row r="14" spans="1:31" ht="15.75">
      <c r="A14" s="173"/>
      <c r="B14" s="16">
        <f>_xlfn.IFERROR(VLOOKUP('К2-Ж-1п'!$A14,#REF!,2,0),0)</f>
        <v>0</v>
      </c>
      <c r="C14" s="71">
        <f>_xlfn.IFERROR(VLOOKUP('К2-Ж-1п'!$A14,#REF!,3,0),0)</f>
        <v>0</v>
      </c>
      <c r="D14" s="37"/>
      <c r="E14" s="37"/>
      <c r="F14" s="37"/>
      <c r="G14" s="73">
        <f>'К2-Ж-1п'!$E14-'К2-Ж-1п'!$D14</f>
        <v>0</v>
      </c>
      <c r="H14" s="16">
        <f>IF(TYPE(H13)=1,IF(H13=1,2,1),1)</f>
        <v>1</v>
      </c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16">
        <f>SUM('К2-Ж-1п'!$I14:$AB14)</f>
        <v>0</v>
      </c>
      <c r="AD14" s="7" t="e">
        <f>'К2-Ж-1п'!$AC14*ЦенаБалла</f>
        <v>#REF!</v>
      </c>
      <c r="AE14" s="6" t="e">
        <f>'К2-Ж-1п'!$G14+'К2-Ж-1п'!$AD14</f>
        <v>#REF!</v>
      </c>
    </row>
    <row r="15" spans="1:31" ht="15.75">
      <c r="A15" s="173"/>
      <c r="B15" s="16">
        <f>_xlfn.IFERROR(VLOOKUP('К2-Ж-1п'!$A15,#REF!,2,0),0)</f>
        <v>0</v>
      </c>
      <c r="C15" s="71">
        <f>_xlfn.IFERROR(VLOOKUP('К2-Ж-1п'!$A15,#REF!,3,0),0)</f>
        <v>0</v>
      </c>
      <c r="D15" s="37"/>
      <c r="E15" s="37"/>
      <c r="F15" s="37"/>
      <c r="G15" s="73">
        <f>'К2-Ж-1п'!$E15-'К2-Ж-1п'!$D15</f>
        <v>0</v>
      </c>
      <c r="H15" s="16">
        <f>IF(TYPE(H14)=1,IF(H14=1,2,1),1)</f>
        <v>2</v>
      </c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16">
        <f>SUM('К2-Ж-1п'!$I15:$AB15)</f>
        <v>0</v>
      </c>
      <c r="AD15" s="7" t="e">
        <f>'К2-Ж-1п'!$AC15*ЦенаБалла</f>
        <v>#REF!</v>
      </c>
      <c r="AE15" s="6" t="e">
        <f>'К2-Ж-1п'!$G15+'К2-Ж-1п'!$AD15</f>
        <v>#REF!</v>
      </c>
    </row>
    <row r="16" spans="1:31" ht="15.75">
      <c r="A16" s="173"/>
      <c r="B16" s="16">
        <f>_xlfn.IFERROR(VLOOKUP('К2-Ж-1п'!$A16,#REF!,2,0),0)</f>
        <v>0</v>
      </c>
      <c r="C16" s="71">
        <f>_xlfn.IFERROR(VLOOKUP('К2-Ж-1п'!$A16,#REF!,3,0),0)</f>
        <v>0</v>
      </c>
      <c r="D16" s="37"/>
      <c r="E16" s="37"/>
      <c r="F16" s="37"/>
      <c r="G16" s="73">
        <f>'К2-Ж-1п'!$E16-'К2-Ж-1п'!$D16</f>
        <v>0</v>
      </c>
      <c r="H16" s="16">
        <f>IF(TYPE(#REF!)=1,IF(#REF!=1,2,1),1)</f>
        <v>1</v>
      </c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16">
        <f>SUM('К2-Ж-1п'!$I16:$AB16)</f>
        <v>0</v>
      </c>
      <c r="AD16" s="7" t="e">
        <f>'К2-Ж-1п'!$AC16*ЦенаБалла</f>
        <v>#REF!</v>
      </c>
      <c r="AE16" s="6" t="e">
        <f>'К2-Ж-1п'!$G16+'К2-Ж-1п'!$AD16</f>
        <v>#REF!</v>
      </c>
    </row>
    <row r="17" spans="1:31" ht="15.75">
      <c r="A17" s="173"/>
      <c r="B17" s="16">
        <f>_xlfn.IFERROR(VLOOKUP('К2-Ж-1п'!$A17,#REF!,2,0),0)</f>
        <v>0</v>
      </c>
      <c r="C17" s="71">
        <f>_xlfn.IFERROR(VLOOKUP('К2-Ж-1п'!$A17,#REF!,3,0),0)</f>
        <v>0</v>
      </c>
      <c r="D17" s="37"/>
      <c r="E17" s="37"/>
      <c r="F17" s="37"/>
      <c r="G17" s="73">
        <f>'К2-Ж-1п'!$E17-'К2-Ж-1п'!$D17</f>
        <v>0</v>
      </c>
      <c r="H17" s="16">
        <f aca="true" t="shared" si="0" ref="H17:H26">IF(TYPE(H16)=1,IF(H16=1,2,1),1)</f>
        <v>2</v>
      </c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16">
        <f>SUM('К2-Ж-1п'!$I17:$AB17)</f>
        <v>0</v>
      </c>
      <c r="AD17" s="7" t="e">
        <f>'К2-Ж-1п'!$AC17*ЦенаБалла</f>
        <v>#REF!</v>
      </c>
      <c r="AE17" s="6" t="e">
        <f>'К2-Ж-1п'!$G17+'К2-Ж-1п'!$AD17</f>
        <v>#REF!</v>
      </c>
    </row>
    <row r="18" spans="1:31" ht="15.75">
      <c r="A18" s="173"/>
      <c r="B18" s="16">
        <f>_xlfn.IFERROR(VLOOKUP('К2-Ж-1п'!$A18,#REF!,2,0),0)</f>
        <v>0</v>
      </c>
      <c r="C18" s="71">
        <f>_xlfn.IFERROR(VLOOKUP('К2-Ж-1п'!$A18,#REF!,3,0),0)</f>
        <v>0</v>
      </c>
      <c r="D18" s="37"/>
      <c r="E18" s="37"/>
      <c r="F18" s="37"/>
      <c r="G18" s="73">
        <f>'К2-Ж-1п'!$E18-'К2-Ж-1п'!$D18</f>
        <v>0</v>
      </c>
      <c r="H18" s="16">
        <f t="shared" si="0"/>
        <v>1</v>
      </c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16">
        <f>SUM('К2-Ж-1п'!$I18:$AB18)</f>
        <v>0</v>
      </c>
      <c r="AD18" s="7" t="e">
        <f>'К2-Ж-1п'!$AC18*ЦенаБалла</f>
        <v>#REF!</v>
      </c>
      <c r="AE18" s="6" t="e">
        <f>'К2-Ж-1п'!$G18+'К2-Ж-1п'!$AD18</f>
        <v>#REF!</v>
      </c>
    </row>
    <row r="19" spans="1:31" ht="15.75">
      <c r="A19" s="173"/>
      <c r="B19" s="110">
        <f>_xlfn.IFERROR(VLOOKUP('К2-Ж-1п'!$A19,#REF!,2,0),0)</f>
        <v>0</v>
      </c>
      <c r="C19" s="109">
        <f>_xlfn.IFERROR(VLOOKUP('К2-Ж-1п'!$A19,#REF!,3,0),0)</f>
        <v>0</v>
      </c>
      <c r="D19" s="37"/>
      <c r="E19" s="37"/>
      <c r="F19" s="37"/>
      <c r="G19" s="73">
        <f>'К2-Ж-1п'!$E19-'К2-Ж-1п'!$D19</f>
        <v>0</v>
      </c>
      <c r="H19" s="110">
        <f t="shared" si="0"/>
        <v>2</v>
      </c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107"/>
      <c r="AC19" s="110">
        <f>SUM('К2-Ж-1п'!$I19:$AB19)</f>
        <v>0</v>
      </c>
      <c r="AD19" s="106" t="e">
        <f>'К2-Ж-1п'!$AC19*ЦенаБалла</f>
        <v>#REF!</v>
      </c>
      <c r="AE19" s="117" t="e">
        <f>'К2-Ж-1п'!$G19+'К2-Ж-1п'!$AD19</f>
        <v>#REF!</v>
      </c>
    </row>
    <row r="20" spans="1:31" s="14" customFormat="1" ht="15" customHeight="1">
      <c r="A20" s="173"/>
      <c r="B20" s="18">
        <f>_xlfn.IFERROR(VLOOKUP('К2-Ж-1п'!$A20,#REF!,2,0),0)</f>
        <v>0</v>
      </c>
      <c r="C20" s="72">
        <f>_xlfn.IFERROR(VLOOKUP('К2-Ж-1п'!$A20,#REF!,3,0),0)</f>
        <v>0</v>
      </c>
      <c r="D20" s="37"/>
      <c r="E20" s="37"/>
      <c r="F20" s="37"/>
      <c r="G20" s="73">
        <f>'К2-Ж-1п'!$E20-'К2-Ж-1п'!$D20</f>
        <v>0</v>
      </c>
      <c r="H20" s="18">
        <f t="shared" si="0"/>
        <v>1</v>
      </c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18">
        <f>SUM('К2-Ж-1п'!$I20:$AB20)</f>
        <v>0</v>
      </c>
      <c r="AD20" s="17" t="e">
        <f>'К2-Ж-1п'!$AC20*ЦенаБалла</f>
        <v>#REF!</v>
      </c>
      <c r="AE20" s="7" t="e">
        <f>'К2-Ж-1п'!$G20+'К2-Ж-1п'!$AD20</f>
        <v>#REF!</v>
      </c>
    </row>
    <row r="21" spans="1:31" s="14" customFormat="1" ht="15" customHeight="1">
      <c r="A21" s="173"/>
      <c r="B21" s="16">
        <f>_xlfn.IFERROR(VLOOKUP('К2-Ж-1п'!$A21,#REF!,2,0),0)</f>
        <v>0</v>
      </c>
      <c r="C21" s="71">
        <f>_xlfn.IFERROR(VLOOKUP('К2-Ж-1п'!$A21,#REF!,3,0),0)</f>
        <v>0</v>
      </c>
      <c r="D21" s="37"/>
      <c r="E21" s="37"/>
      <c r="F21" s="37"/>
      <c r="G21" s="73">
        <f>'К2-Ж-1п'!$E21-'К2-Ж-1п'!$D21</f>
        <v>0</v>
      </c>
      <c r="H21" s="16">
        <f t="shared" si="0"/>
        <v>2</v>
      </c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16">
        <f>SUM('К2-Ж-1п'!$I21:$AB21)</f>
        <v>0</v>
      </c>
      <c r="AD21" s="17" t="e">
        <f>'К2-Ж-1п'!$AC21*ЦенаБалла</f>
        <v>#REF!</v>
      </c>
      <c r="AE21" s="6" t="e">
        <f>'К2-Ж-1п'!$G21+'К2-Ж-1п'!$AD21</f>
        <v>#REF!</v>
      </c>
    </row>
    <row r="22" spans="1:31" s="14" customFormat="1" ht="15" customHeight="1">
      <c r="A22" s="173"/>
      <c r="B22" s="110">
        <f>_xlfn.IFERROR(VLOOKUP('К2-Ж-1п'!$A22,#REF!,2,0),0)</f>
        <v>0</v>
      </c>
      <c r="C22" s="109">
        <f>_xlfn.IFERROR(VLOOKUP('К2-Ж-1п'!$A22,#REF!,3,0),0)</f>
        <v>0</v>
      </c>
      <c r="D22" s="37"/>
      <c r="E22" s="37"/>
      <c r="F22" s="108"/>
      <c r="G22" s="73">
        <f>'К2-Ж-1п'!$E22-'К2-Ж-1п'!$D22</f>
        <v>0</v>
      </c>
      <c r="H22" s="110">
        <f t="shared" si="0"/>
        <v>1</v>
      </c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107"/>
      <c r="AC22" s="110">
        <f>SUM('К2-Ж-1п'!$I22:$AB22)</f>
        <v>0</v>
      </c>
      <c r="AD22" s="106" t="e">
        <f>'К2-Ж-1п'!$AC22*ЦенаБалла</f>
        <v>#REF!</v>
      </c>
      <c r="AE22" s="117" t="e">
        <f>'К2-Ж-1п'!$G22+'К2-Ж-1п'!$AD22</f>
        <v>#REF!</v>
      </c>
    </row>
    <row r="23" spans="1:31" s="14" customFormat="1" ht="15.75">
      <c r="A23" s="183"/>
      <c r="B23" s="184">
        <f>_xlfn.IFERROR(VLOOKUP('К2-Ж-1п'!$A23,#REF!,2,0),0)</f>
        <v>0</v>
      </c>
      <c r="C23" s="186">
        <f>_xlfn.IFERROR(VLOOKUP('К2-Ж-1п'!$A23,#REF!,3,0),0)</f>
        <v>0</v>
      </c>
      <c r="D23" s="188"/>
      <c r="E23" s="188"/>
      <c r="F23" s="188"/>
      <c r="G23" s="194">
        <f>'К2-Ж-1п'!$E23-'К2-Ж-1п'!$D23</f>
        <v>0</v>
      </c>
      <c r="H23" s="185">
        <f t="shared" si="0"/>
        <v>2</v>
      </c>
      <c r="I23" s="190"/>
      <c r="J23" s="190"/>
      <c r="K23" s="190"/>
      <c r="L23" s="190"/>
      <c r="M23" s="190"/>
      <c r="N23" s="190"/>
      <c r="O23" s="190"/>
      <c r="P23" s="190"/>
      <c r="Q23" s="190"/>
      <c r="R23" s="190"/>
      <c r="S23" s="190"/>
      <c r="T23" s="190"/>
      <c r="U23" s="190"/>
      <c r="V23" s="191"/>
      <c r="W23" s="191"/>
      <c r="X23" s="191"/>
      <c r="Y23" s="191"/>
      <c r="Z23" s="191"/>
      <c r="AA23" s="191"/>
      <c r="AB23" s="191"/>
      <c r="AC23" s="185">
        <f>SUM('К2-Ж-1п'!$I23:$AB23)</f>
        <v>0</v>
      </c>
      <c r="AD23" s="192" t="e">
        <f>'К2-Ж-1п'!$AC23*ЦенаБалла</f>
        <v>#REF!</v>
      </c>
      <c r="AE23" s="193" t="e">
        <f>'К2-Ж-1п'!$G23+'К2-Ж-1п'!$AD23</f>
        <v>#REF!</v>
      </c>
    </row>
    <row r="24" spans="1:31" ht="15.75">
      <c r="A24" s="183"/>
      <c r="B24" s="185">
        <f>_xlfn.IFERROR(VLOOKUP('К2-Ж-1п'!$A24,#REF!,2,0),0)</f>
        <v>0</v>
      </c>
      <c r="C24" s="187">
        <f>_xlfn.IFERROR(VLOOKUP('К2-Ж-1п'!$A24,#REF!,3,0),0)</f>
        <v>0</v>
      </c>
      <c r="D24" s="189"/>
      <c r="E24" s="189"/>
      <c r="F24" s="189"/>
      <c r="G24" s="73">
        <f>'К2-Ж-1п'!$E24-'К2-Ж-1п'!$D24</f>
        <v>0</v>
      </c>
      <c r="H24" s="185">
        <f t="shared" si="0"/>
        <v>1</v>
      </c>
      <c r="I24" s="191"/>
      <c r="J24" s="191"/>
      <c r="K24" s="191"/>
      <c r="L24" s="191"/>
      <c r="M24" s="191"/>
      <c r="N24" s="191"/>
      <c r="O24" s="191"/>
      <c r="P24" s="191"/>
      <c r="Q24" s="191"/>
      <c r="R24" s="191"/>
      <c r="S24" s="191"/>
      <c r="T24" s="191"/>
      <c r="U24" s="191"/>
      <c r="V24" s="191"/>
      <c r="W24" s="191"/>
      <c r="X24" s="191"/>
      <c r="Y24" s="191"/>
      <c r="Z24" s="191"/>
      <c r="AA24" s="191"/>
      <c r="AB24" s="191"/>
      <c r="AC24" s="185">
        <f>SUM('К2-Ж-1п'!$I24:$AB24)</f>
        <v>0</v>
      </c>
      <c r="AD24" s="192" t="e">
        <f>'К2-Ж-1п'!$AC24*ЦенаБалла</f>
        <v>#REF!</v>
      </c>
      <c r="AE24" s="193" t="e">
        <f>'К2-Ж-1п'!$G24+'К2-Ж-1п'!$AD24</f>
        <v>#REF!</v>
      </c>
    </row>
    <row r="25" spans="1:31" ht="15.75">
      <c r="A25" s="183"/>
      <c r="B25" s="185">
        <f>_xlfn.IFERROR(VLOOKUP('К2-Ж-1п'!$A25,#REF!,2,0),0)</f>
        <v>0</v>
      </c>
      <c r="C25" s="187">
        <f>_xlfn.IFERROR(VLOOKUP('К2-Ж-1п'!$A25,#REF!,3,0),0)</f>
        <v>0</v>
      </c>
      <c r="D25" s="189"/>
      <c r="E25" s="189"/>
      <c r="F25" s="189"/>
      <c r="G25" s="73">
        <f>'К2-Ж-1п'!$E25-'К2-Ж-1п'!$D25</f>
        <v>0</v>
      </c>
      <c r="H25" s="185">
        <f t="shared" si="0"/>
        <v>2</v>
      </c>
      <c r="I25" s="191"/>
      <c r="J25" s="191"/>
      <c r="K25" s="191"/>
      <c r="L25" s="191"/>
      <c r="M25" s="191"/>
      <c r="N25" s="191"/>
      <c r="O25" s="191"/>
      <c r="P25" s="191"/>
      <c r="Q25" s="191"/>
      <c r="R25" s="191"/>
      <c r="S25" s="191"/>
      <c r="T25" s="191"/>
      <c r="U25" s="191"/>
      <c r="V25" s="191"/>
      <c r="W25" s="191"/>
      <c r="X25" s="191"/>
      <c r="Y25" s="191"/>
      <c r="Z25" s="191"/>
      <c r="AA25" s="191"/>
      <c r="AB25" s="191"/>
      <c r="AC25" s="185">
        <f>SUM('К2-Ж-1п'!$I25:$AB25)</f>
        <v>0</v>
      </c>
      <c r="AD25" s="192" t="e">
        <f>'К2-Ж-1п'!$AC25*ЦенаБалла</f>
        <v>#REF!</v>
      </c>
      <c r="AE25" s="193" t="e">
        <f>'К2-Ж-1п'!$G25+'К2-Ж-1п'!$AD25</f>
        <v>#REF!</v>
      </c>
    </row>
    <row r="26" spans="1:31" ht="15.75">
      <c r="A26" s="183"/>
      <c r="B26" s="185">
        <f>_xlfn.IFERROR(VLOOKUP('К2-Ж-1п'!$A26,#REF!,2,0),0)</f>
        <v>0</v>
      </c>
      <c r="C26" s="187">
        <f>_xlfn.IFERROR(VLOOKUP('К2-Ж-1п'!$A26,#REF!,3,0),0)</f>
        <v>0</v>
      </c>
      <c r="D26" s="189"/>
      <c r="E26" s="189"/>
      <c r="F26" s="189"/>
      <c r="G26" s="73">
        <f>'К2-Ж-1п'!$E26-'К2-Ж-1п'!$D26</f>
        <v>0</v>
      </c>
      <c r="H26" s="185">
        <f t="shared" si="0"/>
        <v>1</v>
      </c>
      <c r="I26" s="191"/>
      <c r="J26" s="191"/>
      <c r="K26" s="191"/>
      <c r="L26" s="191"/>
      <c r="M26" s="191"/>
      <c r="N26" s="191"/>
      <c r="O26" s="191"/>
      <c r="P26" s="191"/>
      <c r="Q26" s="191"/>
      <c r="R26" s="191"/>
      <c r="S26" s="191"/>
      <c r="T26" s="191"/>
      <c r="U26" s="191"/>
      <c r="V26" s="191"/>
      <c r="W26" s="191"/>
      <c r="X26" s="191"/>
      <c r="Y26" s="191"/>
      <c r="Z26" s="191"/>
      <c r="AA26" s="191"/>
      <c r="AB26" s="191"/>
      <c r="AC26" s="185">
        <f>SUM('К2-Ж-1п'!$I26:$AB26)</f>
        <v>0</v>
      </c>
      <c r="AD26" s="192" t="e">
        <f>'К2-Ж-1п'!$AC26*ЦенаБалла</f>
        <v>#REF!</v>
      </c>
      <c r="AE26" s="193" t="e">
        <f>'К2-Ж-1п'!$G26+'К2-Ж-1п'!$AD26</f>
        <v>#REF!</v>
      </c>
    </row>
    <row r="27" spans="2:32" ht="15.75">
      <c r="B27" s="82" t="s">
        <v>7</v>
      </c>
      <c r="C27" s="82"/>
      <c r="D27" s="304"/>
      <c r="E27" s="304"/>
      <c r="G27" s="123"/>
      <c r="H27" s="10"/>
      <c r="I27" s="14"/>
      <c r="J27" s="54" t="e">
        <f>фиосудья</f>
        <v>#REF!</v>
      </c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</row>
    <row r="28" spans="2:32" ht="15.75">
      <c r="B28" s="82" t="s">
        <v>6</v>
      </c>
      <c r="C28" s="82"/>
      <c r="D28" s="179"/>
      <c r="E28" s="179"/>
      <c r="F28" s="11"/>
      <c r="G28" s="124"/>
      <c r="H28" s="11"/>
      <c r="I28" s="14"/>
      <c r="J28" s="12" t="e">
        <f>фиосекретарь</f>
        <v>#REF!</v>
      </c>
      <c r="K28" s="12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</row>
    <row r="29" spans="2:11" ht="15">
      <c r="B29" s="303" t="e">
        <f>дата_протокол</f>
        <v>#REF!</v>
      </c>
      <c r="C29" s="303"/>
      <c r="D29" s="304"/>
      <c r="E29" s="304"/>
      <c r="I29" s="14"/>
      <c r="J29" s="14"/>
      <c r="K29" s="14"/>
    </row>
  </sheetData>
  <sheetProtection/>
  <mergeCells count="19">
    <mergeCell ref="B29:C29"/>
    <mergeCell ref="D29:E29"/>
    <mergeCell ref="B5:C5"/>
    <mergeCell ref="D5:AE5"/>
    <mergeCell ref="B6:C6"/>
    <mergeCell ref="D6:AE6"/>
    <mergeCell ref="B7:C7"/>
    <mergeCell ref="D7:AE7"/>
    <mergeCell ref="B9:AE9"/>
    <mergeCell ref="B10:G10"/>
    <mergeCell ref="I10:AB10"/>
    <mergeCell ref="AC10:AD10"/>
    <mergeCell ref="D27:E27"/>
    <mergeCell ref="B1:C2"/>
    <mergeCell ref="D1:AE2"/>
    <mergeCell ref="B3:C3"/>
    <mergeCell ref="D3:AE3"/>
    <mergeCell ref="B4:C4"/>
    <mergeCell ref="D4:AE4"/>
  </mergeCells>
  <dataValidations count="3">
    <dataValidation type="time" operator="greaterThanOrEqual" allowBlank="1" showInputMessage="1" showErrorMessage="1" sqref="E22:E26 G12:G26 D22:D23 D12:E21">
      <formula1>0</formula1>
    </dataValidation>
    <dataValidation type="list" allowBlank="1" showInputMessage="1" showErrorMessage="1" sqref="D4">
      <formula1>дисциплины</formula1>
    </dataValidation>
    <dataValidation type="whole" operator="greaterThan" allowBlank="1" showErrorMessage="1" errorTitle="Внимание!" error="Данные в этой ячейке должны быть целым числом без любых дополнительных знаков." sqref="B12:B26">
      <formula1>0</formula1>
    </dataValidation>
  </dataValidations>
  <printOptions/>
  <pageMargins left="0.5905511811023623" right="0.5905511811023623" top="0.5905511811023623" bottom="0.5905511811023623" header="0" footer="0"/>
  <pageSetup fitToHeight="1" fitToWidth="1" horizontalDpi="300" verticalDpi="300" orientation="landscape" paperSize="9" scale="67" r:id="rId5"/>
  <drawing r:id="rId4"/>
  <legacyDrawing r:id="rId2"/>
  <tableParts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AF29"/>
  <sheetViews>
    <sheetView zoomScalePageLayoutView="0" workbookViewId="0" topLeftCell="A1">
      <selection activeCell="D6" sqref="D6:AE6"/>
    </sheetView>
  </sheetViews>
  <sheetFormatPr defaultColWidth="9.140625" defaultRowHeight="15" outlineLevelCol="1"/>
  <cols>
    <col min="1" max="1" width="8.57421875" style="111" customWidth="1"/>
    <col min="2" max="2" width="7.8515625" style="111" customWidth="1"/>
    <col min="3" max="3" width="36.28125" style="111" customWidth="1"/>
    <col min="4" max="5" width="11.7109375" style="111" customWidth="1"/>
    <col min="6" max="6" width="7.421875" style="111" hidden="1" customWidth="1" outlineLevel="1"/>
    <col min="7" max="7" width="11.7109375" style="125" bestFit="1" customWidth="1" collapsed="1"/>
    <col min="8" max="8" width="5.8515625" style="111" hidden="1" customWidth="1" outlineLevel="1"/>
    <col min="9" max="9" width="6.28125" style="111" customWidth="1" collapsed="1"/>
    <col min="10" max="16" width="5.28125" style="111" customWidth="1"/>
    <col min="17" max="17" width="5.28125" style="111" hidden="1" customWidth="1"/>
    <col min="18" max="27" width="5.28125" style="111" customWidth="1"/>
    <col min="28" max="28" width="5.28125" style="111" hidden="1" customWidth="1"/>
    <col min="29" max="29" width="8.421875" style="111" customWidth="1"/>
    <col min="30" max="30" width="9.57421875" style="111" customWidth="1"/>
    <col min="31" max="31" width="10.00390625" style="111" customWidth="1"/>
    <col min="32" max="16384" width="9.140625" style="111" customWidth="1"/>
  </cols>
  <sheetData>
    <row r="1" spans="1:31" ht="26.25" customHeight="1">
      <c r="A1" s="80"/>
      <c r="B1" s="288"/>
      <c r="C1" s="288"/>
      <c r="D1" s="289" t="s">
        <v>157</v>
      </c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  <c r="T1" s="290"/>
      <c r="U1" s="290"/>
      <c r="V1" s="290"/>
      <c r="W1" s="290"/>
      <c r="X1" s="290"/>
      <c r="Y1" s="290"/>
      <c r="Z1" s="290"/>
      <c r="AA1" s="290"/>
      <c r="AB1" s="290"/>
      <c r="AC1" s="290"/>
      <c r="AD1" s="290"/>
      <c r="AE1" s="291"/>
    </row>
    <row r="2" spans="1:31" ht="22.5" customHeight="1">
      <c r="A2" s="81"/>
      <c r="B2" s="288"/>
      <c r="C2" s="288"/>
      <c r="D2" s="292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W2" s="293"/>
      <c r="X2" s="293"/>
      <c r="Y2" s="293"/>
      <c r="Z2" s="293"/>
      <c r="AA2" s="293"/>
      <c r="AB2" s="293"/>
      <c r="AC2" s="293"/>
      <c r="AD2" s="293"/>
      <c r="AE2" s="294"/>
    </row>
    <row r="3" spans="2:31" ht="15.75" customHeight="1">
      <c r="B3" s="295" t="s">
        <v>1</v>
      </c>
      <c r="C3" s="296"/>
      <c r="D3" s="297" t="e">
        <f>РангСоревнований</f>
        <v>#REF!</v>
      </c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97"/>
      <c r="R3" s="297"/>
      <c r="S3" s="297"/>
      <c r="T3" s="297"/>
      <c r="U3" s="297"/>
      <c r="V3" s="297"/>
      <c r="W3" s="297"/>
      <c r="X3" s="297"/>
      <c r="Y3" s="297"/>
      <c r="Z3" s="297"/>
      <c r="AA3" s="297"/>
      <c r="AB3" s="297"/>
      <c r="AC3" s="297"/>
      <c r="AD3" s="297"/>
      <c r="AE3" s="297"/>
    </row>
    <row r="4" spans="2:31" ht="15.75" customHeight="1">
      <c r="B4" s="298" t="s">
        <v>2</v>
      </c>
      <c r="C4" s="299"/>
      <c r="D4" s="300" t="s">
        <v>47</v>
      </c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1"/>
      <c r="P4" s="301"/>
      <c r="Q4" s="301"/>
      <c r="R4" s="301"/>
      <c r="S4" s="301"/>
      <c r="T4" s="301"/>
      <c r="U4" s="301"/>
      <c r="V4" s="301"/>
      <c r="W4" s="301"/>
      <c r="X4" s="301"/>
      <c r="Y4" s="301"/>
      <c r="Z4" s="301"/>
      <c r="AA4" s="301"/>
      <c r="AB4" s="301"/>
      <c r="AC4" s="301"/>
      <c r="AD4" s="301"/>
      <c r="AE4" s="302"/>
    </row>
    <row r="5" spans="2:31" ht="15.75" customHeight="1">
      <c r="B5" s="298" t="s">
        <v>3</v>
      </c>
      <c r="C5" s="299"/>
      <c r="D5" s="305" t="s">
        <v>169</v>
      </c>
      <c r="E5" s="305"/>
      <c r="F5" s="305"/>
      <c r="G5" s="305"/>
      <c r="H5" s="305"/>
      <c r="I5" s="305"/>
      <c r="J5" s="305"/>
      <c r="K5" s="305"/>
      <c r="L5" s="305"/>
      <c r="M5" s="305"/>
      <c r="N5" s="305"/>
      <c r="O5" s="305"/>
      <c r="P5" s="305"/>
      <c r="Q5" s="305"/>
      <c r="R5" s="305"/>
      <c r="S5" s="305"/>
      <c r="T5" s="305"/>
      <c r="U5" s="305"/>
      <c r="V5" s="305"/>
      <c r="W5" s="305"/>
      <c r="X5" s="305"/>
      <c r="Y5" s="305"/>
      <c r="Z5" s="305"/>
      <c r="AA5" s="305"/>
      <c r="AB5" s="305"/>
      <c r="AC5" s="305"/>
      <c r="AD5" s="305"/>
      <c r="AE5" s="305"/>
    </row>
    <row r="6" spans="2:31" ht="15.75" customHeight="1">
      <c r="B6" s="298" t="s">
        <v>4</v>
      </c>
      <c r="C6" s="299"/>
      <c r="D6" s="306"/>
      <c r="E6" s="306"/>
      <c r="F6" s="306"/>
      <c r="G6" s="306"/>
      <c r="H6" s="306"/>
      <c r="I6" s="306"/>
      <c r="J6" s="306"/>
      <c r="K6" s="306"/>
      <c r="L6" s="306"/>
      <c r="M6" s="306"/>
      <c r="N6" s="306"/>
      <c r="O6" s="306"/>
      <c r="P6" s="306"/>
      <c r="Q6" s="306"/>
      <c r="R6" s="306"/>
      <c r="S6" s="306"/>
      <c r="T6" s="306"/>
      <c r="U6" s="306"/>
      <c r="V6" s="306"/>
      <c r="W6" s="306"/>
      <c r="X6" s="306"/>
      <c r="Y6" s="306"/>
      <c r="Z6" s="306"/>
      <c r="AA6" s="306"/>
      <c r="AB6" s="306"/>
      <c r="AC6" s="306"/>
      <c r="AD6" s="306"/>
      <c r="AE6" s="306"/>
    </row>
    <row r="7" spans="2:31" ht="15.75" customHeight="1">
      <c r="B7" s="298" t="s">
        <v>5</v>
      </c>
      <c r="C7" s="299"/>
      <c r="D7" s="306"/>
      <c r="E7" s="306"/>
      <c r="F7" s="306"/>
      <c r="G7" s="306"/>
      <c r="H7" s="306"/>
      <c r="I7" s="306"/>
      <c r="J7" s="306"/>
      <c r="K7" s="306"/>
      <c r="L7" s="306"/>
      <c r="M7" s="306"/>
      <c r="N7" s="306"/>
      <c r="O7" s="306"/>
      <c r="P7" s="306"/>
      <c r="Q7" s="306"/>
      <c r="R7" s="306"/>
      <c r="S7" s="306"/>
      <c r="T7" s="306"/>
      <c r="U7" s="306"/>
      <c r="V7" s="306"/>
      <c r="W7" s="306"/>
      <c r="X7" s="306"/>
      <c r="Y7" s="306"/>
      <c r="Z7" s="306"/>
      <c r="AA7" s="306"/>
      <c r="AB7" s="306"/>
      <c r="AC7" s="306"/>
      <c r="AD7" s="306"/>
      <c r="AE7" s="306"/>
    </row>
    <row r="8" spans="1:31" ht="15">
      <c r="A8" s="1"/>
      <c r="B8" s="1"/>
      <c r="C8" s="1"/>
      <c r="D8" s="1"/>
      <c r="E8" s="1"/>
      <c r="F8" s="1"/>
      <c r="G8" s="122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2:31" ht="15.75">
      <c r="B9" s="307" t="s">
        <v>142</v>
      </c>
      <c r="C9" s="307"/>
      <c r="D9" s="307"/>
      <c r="E9" s="307"/>
      <c r="F9" s="307"/>
      <c r="G9" s="307"/>
      <c r="H9" s="307"/>
      <c r="I9" s="307"/>
      <c r="J9" s="307"/>
      <c r="K9" s="307"/>
      <c r="L9" s="307"/>
      <c r="M9" s="307"/>
      <c r="N9" s="307"/>
      <c r="O9" s="307"/>
      <c r="P9" s="307"/>
      <c r="Q9" s="307"/>
      <c r="R9" s="307"/>
      <c r="S9" s="307"/>
      <c r="T9" s="307"/>
      <c r="U9" s="307"/>
      <c r="V9" s="307"/>
      <c r="W9" s="307"/>
      <c r="X9" s="307"/>
      <c r="Y9" s="307"/>
      <c r="Z9" s="307"/>
      <c r="AA9" s="307"/>
      <c r="AB9" s="307"/>
      <c r="AC9" s="307"/>
      <c r="AD9" s="307"/>
      <c r="AE9" s="307"/>
    </row>
    <row r="10" spans="1:31" ht="20.25" customHeight="1">
      <c r="A10" s="83"/>
      <c r="B10" s="308"/>
      <c r="C10" s="309"/>
      <c r="D10" s="309"/>
      <c r="E10" s="309"/>
      <c r="F10" s="309"/>
      <c r="G10" s="310"/>
      <c r="H10" s="84"/>
      <c r="I10" s="311" t="s">
        <v>194</v>
      </c>
      <c r="J10" s="312"/>
      <c r="K10" s="312"/>
      <c r="L10" s="312"/>
      <c r="M10" s="312"/>
      <c r="N10" s="312"/>
      <c r="O10" s="312"/>
      <c r="P10" s="312"/>
      <c r="Q10" s="312"/>
      <c r="R10" s="312"/>
      <c r="S10" s="312"/>
      <c r="T10" s="312"/>
      <c r="U10" s="312"/>
      <c r="V10" s="312"/>
      <c r="W10" s="312"/>
      <c r="X10" s="312"/>
      <c r="Y10" s="312"/>
      <c r="Z10" s="312"/>
      <c r="AA10" s="312"/>
      <c r="AB10" s="313"/>
      <c r="AC10" s="311" t="s">
        <v>34</v>
      </c>
      <c r="AD10" s="313"/>
      <c r="AE10" s="180"/>
    </row>
    <row r="11" spans="1:31" ht="77.25" customHeight="1">
      <c r="A11" s="79" t="s">
        <v>154</v>
      </c>
      <c r="B11" s="15" t="s">
        <v>39</v>
      </c>
      <c r="C11" s="60" t="s">
        <v>41</v>
      </c>
      <c r="D11" s="40" t="s">
        <v>37</v>
      </c>
      <c r="E11" s="40" t="s">
        <v>36</v>
      </c>
      <c r="F11" s="40" t="s">
        <v>35</v>
      </c>
      <c r="G11" s="128" t="s">
        <v>149</v>
      </c>
      <c r="H11" s="61" t="s">
        <v>38</v>
      </c>
      <c r="I11" s="38" t="s">
        <v>17</v>
      </c>
      <c r="J11" s="38" t="s">
        <v>16</v>
      </c>
      <c r="K11" s="38" t="s">
        <v>19</v>
      </c>
      <c r="L11" s="38" t="s">
        <v>15</v>
      </c>
      <c r="M11" s="38" t="s">
        <v>30</v>
      </c>
      <c r="N11" s="38" t="s">
        <v>20</v>
      </c>
      <c r="O11" s="38" t="s">
        <v>26</v>
      </c>
      <c r="P11" s="38" t="s">
        <v>141</v>
      </c>
      <c r="Q11" s="38" t="s">
        <v>21</v>
      </c>
      <c r="R11" s="38" t="s">
        <v>29</v>
      </c>
      <c r="S11" s="38" t="s">
        <v>27</v>
      </c>
      <c r="T11" s="38" t="s">
        <v>25</v>
      </c>
      <c r="U11" s="38" t="s">
        <v>18</v>
      </c>
      <c r="V11" s="38" t="s">
        <v>140</v>
      </c>
      <c r="W11" s="38" t="s">
        <v>22</v>
      </c>
      <c r="X11" s="38" t="s">
        <v>23</v>
      </c>
      <c r="Y11" s="38" t="s">
        <v>24</v>
      </c>
      <c r="Z11" s="38" t="s">
        <v>184</v>
      </c>
      <c r="AA11" s="38" t="s">
        <v>192</v>
      </c>
      <c r="AB11" s="38" t="s">
        <v>193</v>
      </c>
      <c r="AC11" s="15" t="s">
        <v>9</v>
      </c>
      <c r="AD11" s="19" t="s">
        <v>32</v>
      </c>
      <c r="AE11" s="20" t="s">
        <v>150</v>
      </c>
    </row>
    <row r="12" spans="1:31" ht="18" customHeight="1">
      <c r="A12" s="173"/>
      <c r="B12" s="16">
        <f>_xlfn.IFERROR(VLOOKUP('К2-Ж-2п'!$A12,#REF!,2,0),0)</f>
        <v>0</v>
      </c>
      <c r="C12" s="71">
        <f>_xlfn.IFERROR(VLOOKUP('К2-Ж-2п'!$A12,#REF!,3,0),0)</f>
        <v>0</v>
      </c>
      <c r="D12" s="37">
        <v>0</v>
      </c>
      <c r="E12" s="37">
        <v>0</v>
      </c>
      <c r="F12" s="37"/>
      <c r="G12" s="73">
        <f>'К2-Ж-2п'!$E12-'К2-Ж-2п'!$D12</f>
        <v>0</v>
      </c>
      <c r="H12" s="16">
        <f>IF(TYPE(H11)=1,IF(H11=1,2,1),1)</f>
        <v>1</v>
      </c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16">
        <f>SUM('К2-Ж-2п'!$I12:$AB12)</f>
        <v>0</v>
      </c>
      <c r="AD12" s="7" t="e">
        <f>'К2-Ж-2п'!$AC12*ЦенаБалла</f>
        <v>#REF!</v>
      </c>
      <c r="AE12" s="6" t="e">
        <f>'К2-Ж-2п'!$G12+'К2-Ж-2п'!$AD12</f>
        <v>#REF!</v>
      </c>
    </row>
    <row r="13" spans="1:31" ht="15.75">
      <c r="A13" s="173"/>
      <c r="B13" s="16">
        <f>_xlfn.IFERROR(VLOOKUP('К2-Ж-2п'!$A13,#REF!,2,0),0)</f>
        <v>0</v>
      </c>
      <c r="C13" s="71">
        <f>_xlfn.IFERROR(VLOOKUP('К2-Ж-2п'!$A13,#REF!,3,0),0)</f>
        <v>0</v>
      </c>
      <c r="D13" s="37"/>
      <c r="E13" s="37"/>
      <c r="F13" s="37"/>
      <c r="G13" s="73">
        <f>'К2-Ж-2п'!$E13-'К2-Ж-2п'!$D13</f>
        <v>0</v>
      </c>
      <c r="H13" s="16">
        <f>IF(TYPE(H12)=1,IF(H12=1,2,1),1)</f>
        <v>2</v>
      </c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16">
        <f>SUM('К2-Ж-2п'!$I13:$AB13)</f>
        <v>0</v>
      </c>
      <c r="AD13" s="7" t="e">
        <f>'К2-Ж-2п'!$AC13*ЦенаБалла</f>
        <v>#REF!</v>
      </c>
      <c r="AE13" s="6" t="e">
        <f>'К2-Ж-2п'!$G13+'К2-Ж-2п'!$AD13</f>
        <v>#REF!</v>
      </c>
    </row>
    <row r="14" spans="1:31" ht="15.75">
      <c r="A14" s="173"/>
      <c r="B14" s="16">
        <f>_xlfn.IFERROR(VLOOKUP('К2-Ж-2п'!$A14,#REF!,2,0),0)</f>
        <v>0</v>
      </c>
      <c r="C14" s="71">
        <f>_xlfn.IFERROR(VLOOKUP('К2-Ж-2п'!$A14,#REF!,3,0),0)</f>
        <v>0</v>
      </c>
      <c r="D14" s="37"/>
      <c r="E14" s="37"/>
      <c r="F14" s="37"/>
      <c r="G14" s="73">
        <f>'К2-Ж-2п'!$E14-'К2-Ж-2п'!$D14</f>
        <v>0</v>
      </c>
      <c r="H14" s="16">
        <f>IF(TYPE(H13)=1,IF(H13=1,2,1),1)</f>
        <v>1</v>
      </c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16">
        <f>SUM('К2-Ж-2п'!$I14:$AB14)</f>
        <v>0</v>
      </c>
      <c r="AD14" s="7" t="e">
        <f>'К2-Ж-2п'!$AC14*ЦенаБалла</f>
        <v>#REF!</v>
      </c>
      <c r="AE14" s="6" t="e">
        <f>'К2-Ж-2п'!$G14+'К2-Ж-2п'!$AD14</f>
        <v>#REF!</v>
      </c>
    </row>
    <row r="15" spans="1:31" ht="15.75">
      <c r="A15" s="173"/>
      <c r="B15" s="16">
        <f>_xlfn.IFERROR(VLOOKUP('К2-Ж-2п'!$A15,#REF!,2,0),0)</f>
        <v>0</v>
      </c>
      <c r="C15" s="71">
        <f>_xlfn.IFERROR(VLOOKUP('К2-Ж-2п'!$A15,#REF!,3,0),0)</f>
        <v>0</v>
      </c>
      <c r="D15" s="37"/>
      <c r="E15" s="37"/>
      <c r="F15" s="37"/>
      <c r="G15" s="73">
        <f>'К2-Ж-2п'!$E15-'К2-Ж-2п'!$D15</f>
        <v>0</v>
      </c>
      <c r="H15" s="16">
        <f>IF(TYPE(H14)=1,IF(H14=1,2,1),1)</f>
        <v>2</v>
      </c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16">
        <f>SUM('К2-Ж-2п'!$I15:$AB15)</f>
        <v>0</v>
      </c>
      <c r="AD15" s="7" t="e">
        <f>'К2-Ж-2п'!$AC15*ЦенаБалла</f>
        <v>#REF!</v>
      </c>
      <c r="AE15" s="6" t="e">
        <f>'К2-Ж-2п'!$G15+'К2-Ж-2п'!$AD15</f>
        <v>#REF!</v>
      </c>
    </row>
    <row r="16" spans="1:31" ht="15.75">
      <c r="A16" s="173"/>
      <c r="B16" s="16">
        <f>_xlfn.IFERROR(VLOOKUP('К2-Ж-2п'!$A16,#REF!,2,0),0)</f>
        <v>0</v>
      </c>
      <c r="C16" s="71">
        <f>_xlfn.IFERROR(VLOOKUP('К2-Ж-2п'!$A16,#REF!,3,0),0)</f>
        <v>0</v>
      </c>
      <c r="D16" s="37"/>
      <c r="E16" s="37"/>
      <c r="F16" s="37"/>
      <c r="G16" s="73">
        <f>'К2-Ж-2п'!$E16-'К2-Ж-2п'!$D16</f>
        <v>0</v>
      </c>
      <c r="H16" s="16">
        <f>IF(TYPE(#REF!)=1,IF(#REF!=1,2,1),1)</f>
        <v>1</v>
      </c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16">
        <f>SUM('К2-Ж-2п'!$I16:$AB16)</f>
        <v>0</v>
      </c>
      <c r="AD16" s="7" t="e">
        <f>'К2-Ж-2п'!$AC16*ЦенаБалла</f>
        <v>#REF!</v>
      </c>
      <c r="AE16" s="6" t="e">
        <f>'К2-Ж-2п'!$G16+'К2-Ж-2п'!$AD16</f>
        <v>#REF!</v>
      </c>
    </row>
    <row r="17" spans="1:31" ht="15.75">
      <c r="A17" s="173"/>
      <c r="B17" s="16">
        <f>_xlfn.IFERROR(VLOOKUP('К2-Ж-2п'!$A17,#REF!,2,0),0)</f>
        <v>0</v>
      </c>
      <c r="C17" s="71">
        <f>_xlfn.IFERROR(VLOOKUP('К2-Ж-2п'!$A17,#REF!,3,0),0)</f>
        <v>0</v>
      </c>
      <c r="D17" s="37"/>
      <c r="E17" s="37"/>
      <c r="F17" s="37"/>
      <c r="G17" s="73">
        <f>'К2-Ж-2п'!$E17-'К2-Ж-2п'!$D17</f>
        <v>0</v>
      </c>
      <c r="H17" s="16">
        <f aca="true" t="shared" si="0" ref="H17:H26">IF(TYPE(H16)=1,IF(H16=1,2,1),1)</f>
        <v>2</v>
      </c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16">
        <f>SUM('К2-Ж-2п'!$I17:$AB17)</f>
        <v>0</v>
      </c>
      <c r="AD17" s="7" t="e">
        <f>'К2-Ж-2п'!$AC17*ЦенаБалла</f>
        <v>#REF!</v>
      </c>
      <c r="AE17" s="6" t="e">
        <f>'К2-Ж-2п'!$G17+'К2-Ж-2п'!$AD17</f>
        <v>#REF!</v>
      </c>
    </row>
    <row r="18" spans="1:31" ht="15.75">
      <c r="A18" s="173"/>
      <c r="B18" s="16">
        <f>_xlfn.IFERROR(VLOOKUP('К2-Ж-2п'!$A18,#REF!,2,0),0)</f>
        <v>0</v>
      </c>
      <c r="C18" s="71">
        <f>_xlfn.IFERROR(VLOOKUP('К2-Ж-2п'!$A18,#REF!,3,0),0)</f>
        <v>0</v>
      </c>
      <c r="D18" s="37"/>
      <c r="E18" s="37"/>
      <c r="F18" s="37"/>
      <c r="G18" s="73">
        <f>'К2-Ж-2п'!$E18-'К2-Ж-2п'!$D18</f>
        <v>0</v>
      </c>
      <c r="H18" s="16">
        <f t="shared" si="0"/>
        <v>1</v>
      </c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16">
        <f>SUM('К2-Ж-2п'!$I18:$AB18)</f>
        <v>0</v>
      </c>
      <c r="AD18" s="7" t="e">
        <f>'К2-Ж-2п'!$AC18*ЦенаБалла</f>
        <v>#REF!</v>
      </c>
      <c r="AE18" s="6" t="e">
        <f>'К2-Ж-2п'!$G18+'К2-Ж-2п'!$AD18</f>
        <v>#REF!</v>
      </c>
    </row>
    <row r="19" spans="1:31" ht="15.75">
      <c r="A19" s="173"/>
      <c r="B19" s="110">
        <f>_xlfn.IFERROR(VLOOKUP('К2-Ж-2п'!$A19,#REF!,2,0),0)</f>
        <v>0</v>
      </c>
      <c r="C19" s="109">
        <f>_xlfn.IFERROR(VLOOKUP('К2-Ж-2п'!$A19,#REF!,3,0),0)</f>
        <v>0</v>
      </c>
      <c r="D19" s="37"/>
      <c r="E19" s="37"/>
      <c r="F19" s="37"/>
      <c r="G19" s="73">
        <f>'К2-Ж-2п'!$E19-'К2-Ж-2п'!$D19</f>
        <v>0</v>
      </c>
      <c r="H19" s="110">
        <f t="shared" si="0"/>
        <v>2</v>
      </c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107"/>
      <c r="AC19" s="110">
        <f>SUM('К2-Ж-2п'!$I19:$AB19)</f>
        <v>0</v>
      </c>
      <c r="AD19" s="106" t="e">
        <f>'К2-Ж-2п'!$AC19*ЦенаБалла</f>
        <v>#REF!</v>
      </c>
      <c r="AE19" s="117" t="e">
        <f>'К2-Ж-2п'!$G19+'К2-Ж-2п'!$AD19</f>
        <v>#REF!</v>
      </c>
    </row>
    <row r="20" spans="1:31" s="14" customFormat="1" ht="15" customHeight="1">
      <c r="A20" s="173"/>
      <c r="B20" s="18">
        <f>_xlfn.IFERROR(VLOOKUP('К2-Ж-2п'!$A20,#REF!,2,0),0)</f>
        <v>0</v>
      </c>
      <c r="C20" s="72">
        <f>_xlfn.IFERROR(VLOOKUP('К2-Ж-2п'!$A20,#REF!,3,0),0)</f>
        <v>0</v>
      </c>
      <c r="D20" s="37"/>
      <c r="E20" s="37"/>
      <c r="F20" s="37"/>
      <c r="G20" s="73">
        <f>'К2-Ж-2п'!$E20-'К2-Ж-2п'!$D20</f>
        <v>0</v>
      </c>
      <c r="H20" s="18">
        <f t="shared" si="0"/>
        <v>1</v>
      </c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18">
        <f>SUM('К2-Ж-2п'!$I20:$AB20)</f>
        <v>0</v>
      </c>
      <c r="AD20" s="17" t="e">
        <f>'К2-Ж-2п'!$AC20*ЦенаБалла</f>
        <v>#REF!</v>
      </c>
      <c r="AE20" s="7" t="e">
        <f>'К2-Ж-2п'!$G20+'К2-Ж-2п'!$AD20</f>
        <v>#REF!</v>
      </c>
    </row>
    <row r="21" spans="1:31" s="14" customFormat="1" ht="15" customHeight="1">
      <c r="A21" s="173"/>
      <c r="B21" s="16">
        <f>_xlfn.IFERROR(VLOOKUP('К2-Ж-2п'!$A21,#REF!,2,0),0)</f>
        <v>0</v>
      </c>
      <c r="C21" s="71">
        <f>_xlfn.IFERROR(VLOOKUP('К2-Ж-2п'!$A21,#REF!,3,0),0)</f>
        <v>0</v>
      </c>
      <c r="D21" s="37"/>
      <c r="E21" s="37"/>
      <c r="F21" s="37"/>
      <c r="G21" s="73">
        <f>'К2-Ж-2п'!$E21-'К2-Ж-2п'!$D21</f>
        <v>0</v>
      </c>
      <c r="H21" s="16">
        <f t="shared" si="0"/>
        <v>2</v>
      </c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16">
        <f>SUM('К2-Ж-2п'!$I21:$AB21)</f>
        <v>0</v>
      </c>
      <c r="AD21" s="17" t="e">
        <f>'К2-Ж-2п'!$AC21*ЦенаБалла</f>
        <v>#REF!</v>
      </c>
      <c r="AE21" s="6" t="e">
        <f>'К2-Ж-2п'!$G21+'К2-Ж-2п'!$AD21</f>
        <v>#REF!</v>
      </c>
    </row>
    <row r="22" spans="1:31" s="14" customFormat="1" ht="15" customHeight="1">
      <c r="A22" s="173"/>
      <c r="B22" s="110">
        <f>_xlfn.IFERROR(VLOOKUP('К2-Ж-2п'!$A22,#REF!,2,0),0)</f>
        <v>0</v>
      </c>
      <c r="C22" s="109">
        <f>_xlfn.IFERROR(VLOOKUP('К2-Ж-2п'!$A22,#REF!,3,0),0)</f>
        <v>0</v>
      </c>
      <c r="D22" s="37"/>
      <c r="E22" s="37"/>
      <c r="F22" s="108"/>
      <c r="G22" s="73">
        <f>'К2-Ж-2п'!$E22-'К2-Ж-2п'!$D22</f>
        <v>0</v>
      </c>
      <c r="H22" s="110">
        <f t="shared" si="0"/>
        <v>1</v>
      </c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107"/>
      <c r="AC22" s="110">
        <f>SUM('К2-Ж-2п'!$I22:$AB22)</f>
        <v>0</v>
      </c>
      <c r="AD22" s="106" t="e">
        <f>'К2-Ж-2п'!$AC22*ЦенаБалла</f>
        <v>#REF!</v>
      </c>
      <c r="AE22" s="117" t="e">
        <f>'К2-Ж-2п'!$G22+'К2-Ж-2п'!$AD22</f>
        <v>#REF!</v>
      </c>
    </row>
    <row r="23" spans="1:31" s="14" customFormat="1" ht="15.75">
      <c r="A23" s="183"/>
      <c r="B23" s="184">
        <f>_xlfn.IFERROR(VLOOKUP('К2-Ж-2п'!$A23,#REF!,2,0),0)</f>
        <v>0</v>
      </c>
      <c r="C23" s="186">
        <f>_xlfn.IFERROR(VLOOKUP('К2-Ж-2п'!$A23,#REF!,3,0),0)</f>
        <v>0</v>
      </c>
      <c r="D23" s="188"/>
      <c r="E23" s="188"/>
      <c r="F23" s="188"/>
      <c r="G23" s="194">
        <f>'К2-Ж-2п'!$E23-'К2-Ж-2п'!$D23</f>
        <v>0</v>
      </c>
      <c r="H23" s="185">
        <f t="shared" si="0"/>
        <v>2</v>
      </c>
      <c r="I23" s="190"/>
      <c r="J23" s="190"/>
      <c r="K23" s="190"/>
      <c r="L23" s="190"/>
      <c r="M23" s="190"/>
      <c r="N23" s="190"/>
      <c r="O23" s="190"/>
      <c r="P23" s="190"/>
      <c r="Q23" s="190"/>
      <c r="R23" s="190"/>
      <c r="S23" s="190"/>
      <c r="T23" s="190"/>
      <c r="U23" s="190"/>
      <c r="V23" s="191"/>
      <c r="W23" s="191"/>
      <c r="X23" s="191"/>
      <c r="Y23" s="191"/>
      <c r="Z23" s="191"/>
      <c r="AA23" s="191"/>
      <c r="AB23" s="191"/>
      <c r="AC23" s="185">
        <f>SUM('К2-Ж-2п'!$I23:$AB23)</f>
        <v>0</v>
      </c>
      <c r="AD23" s="192" t="e">
        <f>'К2-Ж-2п'!$AC23*ЦенаБалла</f>
        <v>#REF!</v>
      </c>
      <c r="AE23" s="193" t="e">
        <f>'К2-Ж-2п'!$G23+'К2-Ж-2п'!$AD23</f>
        <v>#REF!</v>
      </c>
    </row>
    <row r="24" spans="1:31" ht="15.75">
      <c r="A24" s="183"/>
      <c r="B24" s="185">
        <f>_xlfn.IFERROR(VLOOKUP('К2-Ж-2п'!$A24,#REF!,2,0),0)</f>
        <v>0</v>
      </c>
      <c r="C24" s="187">
        <f>_xlfn.IFERROR(VLOOKUP('К2-Ж-2п'!$A24,#REF!,3,0),0)</f>
        <v>0</v>
      </c>
      <c r="D24" s="189"/>
      <c r="E24" s="189"/>
      <c r="F24" s="189"/>
      <c r="G24" s="73">
        <f>'К2-Ж-2п'!$E24-'К2-Ж-2п'!$D24</f>
        <v>0</v>
      </c>
      <c r="H24" s="185">
        <f t="shared" si="0"/>
        <v>1</v>
      </c>
      <c r="I24" s="191"/>
      <c r="J24" s="191"/>
      <c r="K24" s="191"/>
      <c r="L24" s="191"/>
      <c r="M24" s="191"/>
      <c r="N24" s="191"/>
      <c r="O24" s="191"/>
      <c r="P24" s="191"/>
      <c r="Q24" s="191"/>
      <c r="R24" s="191"/>
      <c r="S24" s="191"/>
      <c r="T24" s="191"/>
      <c r="U24" s="191"/>
      <c r="V24" s="191"/>
      <c r="W24" s="191"/>
      <c r="X24" s="191"/>
      <c r="Y24" s="191"/>
      <c r="Z24" s="191"/>
      <c r="AA24" s="191"/>
      <c r="AB24" s="191"/>
      <c r="AC24" s="185">
        <f>SUM('К2-Ж-2п'!$I24:$AB24)</f>
        <v>0</v>
      </c>
      <c r="AD24" s="192" t="e">
        <f>'К2-Ж-2п'!$AC24*ЦенаБалла</f>
        <v>#REF!</v>
      </c>
      <c r="AE24" s="193" t="e">
        <f>'К2-Ж-2п'!$G24+'К2-Ж-2п'!$AD24</f>
        <v>#REF!</v>
      </c>
    </row>
    <row r="25" spans="1:31" ht="15.75">
      <c r="A25" s="183"/>
      <c r="B25" s="185">
        <f>_xlfn.IFERROR(VLOOKUP('К2-Ж-2п'!$A25,#REF!,2,0),0)</f>
        <v>0</v>
      </c>
      <c r="C25" s="187">
        <f>_xlfn.IFERROR(VLOOKUP('К2-Ж-2п'!$A25,#REF!,3,0),0)</f>
        <v>0</v>
      </c>
      <c r="D25" s="189"/>
      <c r="E25" s="189"/>
      <c r="F25" s="189"/>
      <c r="G25" s="73">
        <f>'К2-Ж-2п'!$E25-'К2-Ж-2п'!$D25</f>
        <v>0</v>
      </c>
      <c r="H25" s="185">
        <f t="shared" si="0"/>
        <v>2</v>
      </c>
      <c r="I25" s="191"/>
      <c r="J25" s="191"/>
      <c r="K25" s="191"/>
      <c r="L25" s="191"/>
      <c r="M25" s="191"/>
      <c r="N25" s="191"/>
      <c r="O25" s="191"/>
      <c r="P25" s="191"/>
      <c r="Q25" s="191"/>
      <c r="R25" s="191"/>
      <c r="S25" s="191"/>
      <c r="T25" s="191"/>
      <c r="U25" s="191"/>
      <c r="V25" s="191"/>
      <c r="W25" s="191"/>
      <c r="X25" s="191"/>
      <c r="Y25" s="191"/>
      <c r="Z25" s="191"/>
      <c r="AA25" s="191"/>
      <c r="AB25" s="191"/>
      <c r="AC25" s="185">
        <f>SUM('К2-Ж-2п'!$I25:$AB25)</f>
        <v>0</v>
      </c>
      <c r="AD25" s="192" t="e">
        <f>'К2-Ж-2п'!$AC25*ЦенаБалла</f>
        <v>#REF!</v>
      </c>
      <c r="AE25" s="193" t="e">
        <f>'К2-Ж-2п'!$G25+'К2-Ж-2п'!$AD25</f>
        <v>#REF!</v>
      </c>
    </row>
    <row r="26" spans="1:31" ht="15.75">
      <c r="A26" s="183"/>
      <c r="B26" s="185">
        <f>_xlfn.IFERROR(VLOOKUP('К2-Ж-2п'!$A26,#REF!,2,0),0)</f>
        <v>0</v>
      </c>
      <c r="C26" s="187">
        <f>_xlfn.IFERROR(VLOOKUP('К2-Ж-2п'!$A26,#REF!,3,0),0)</f>
        <v>0</v>
      </c>
      <c r="D26" s="189"/>
      <c r="E26" s="189"/>
      <c r="F26" s="189"/>
      <c r="G26" s="73">
        <f>'К2-Ж-2п'!$E26-'К2-Ж-2п'!$D26</f>
        <v>0</v>
      </c>
      <c r="H26" s="185">
        <f t="shared" si="0"/>
        <v>1</v>
      </c>
      <c r="I26" s="191"/>
      <c r="J26" s="191"/>
      <c r="K26" s="191"/>
      <c r="L26" s="191"/>
      <c r="M26" s="191"/>
      <c r="N26" s="191"/>
      <c r="O26" s="191"/>
      <c r="P26" s="191"/>
      <c r="Q26" s="191"/>
      <c r="R26" s="191"/>
      <c r="S26" s="191"/>
      <c r="T26" s="191"/>
      <c r="U26" s="191"/>
      <c r="V26" s="191"/>
      <c r="W26" s="191"/>
      <c r="X26" s="191"/>
      <c r="Y26" s="191"/>
      <c r="Z26" s="191"/>
      <c r="AA26" s="191"/>
      <c r="AB26" s="191"/>
      <c r="AC26" s="185">
        <f>SUM('К2-Ж-2п'!$I26:$AB26)</f>
        <v>0</v>
      </c>
      <c r="AD26" s="192" t="e">
        <f>'К2-Ж-2п'!$AC26*ЦенаБалла</f>
        <v>#REF!</v>
      </c>
      <c r="AE26" s="193" t="e">
        <f>'К2-Ж-2п'!$G26+'К2-Ж-2п'!$AD26</f>
        <v>#REF!</v>
      </c>
    </row>
    <row r="27" spans="2:32" ht="15.75">
      <c r="B27" s="82" t="s">
        <v>7</v>
      </c>
      <c r="C27" s="82"/>
      <c r="D27" s="304"/>
      <c r="E27" s="304"/>
      <c r="G27" s="123"/>
      <c r="H27" s="10"/>
      <c r="I27" s="14"/>
      <c r="J27" s="54" t="e">
        <f>фиосудья</f>
        <v>#REF!</v>
      </c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</row>
    <row r="28" spans="2:32" ht="15.75">
      <c r="B28" s="82" t="s">
        <v>6</v>
      </c>
      <c r="C28" s="82"/>
      <c r="D28" s="179"/>
      <c r="E28" s="179"/>
      <c r="F28" s="11"/>
      <c r="G28" s="124"/>
      <c r="H28" s="11"/>
      <c r="I28" s="14"/>
      <c r="J28" s="12" t="e">
        <f>фиосекретарь</f>
        <v>#REF!</v>
      </c>
      <c r="K28" s="12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</row>
    <row r="29" spans="2:11" ht="15">
      <c r="B29" s="303" t="e">
        <f>дата_протокол</f>
        <v>#REF!</v>
      </c>
      <c r="C29" s="303"/>
      <c r="D29" s="304"/>
      <c r="E29" s="304"/>
      <c r="I29" s="14"/>
      <c r="J29" s="14"/>
      <c r="K29" s="14"/>
    </row>
  </sheetData>
  <sheetProtection/>
  <mergeCells count="19">
    <mergeCell ref="B29:C29"/>
    <mergeCell ref="D29:E29"/>
    <mergeCell ref="B5:C5"/>
    <mergeCell ref="D5:AE5"/>
    <mergeCell ref="B6:C6"/>
    <mergeCell ref="D6:AE6"/>
    <mergeCell ref="B7:C7"/>
    <mergeCell ref="D7:AE7"/>
    <mergeCell ref="B9:AE9"/>
    <mergeCell ref="B10:G10"/>
    <mergeCell ref="I10:AB10"/>
    <mergeCell ref="AC10:AD10"/>
    <mergeCell ref="D27:E27"/>
    <mergeCell ref="B1:C2"/>
    <mergeCell ref="D1:AE2"/>
    <mergeCell ref="B3:C3"/>
    <mergeCell ref="D3:AE3"/>
    <mergeCell ref="B4:C4"/>
    <mergeCell ref="D4:AE4"/>
  </mergeCells>
  <dataValidations count="3">
    <dataValidation type="whole" operator="greaterThan" allowBlank="1" showErrorMessage="1" errorTitle="Внимание!" error="Данные в этой ячейке должны быть целым числом без любых дополнительных знаков." sqref="B12:B26">
      <formula1>0</formula1>
    </dataValidation>
    <dataValidation type="list" allowBlank="1" showInputMessage="1" showErrorMessage="1" sqref="D4">
      <formula1>дисциплины</formula1>
    </dataValidation>
    <dataValidation type="time" operator="greaterThanOrEqual" allowBlank="1" showInputMessage="1" showErrorMessage="1" sqref="E22:E26 G12:G26 D22:D23 D12:E21">
      <formula1>0</formula1>
    </dataValidation>
  </dataValidations>
  <printOptions/>
  <pageMargins left="0.5905511811023623" right="0.5905511811023623" top="0.5905511811023623" bottom="0.5905511811023623" header="0" footer="0"/>
  <pageSetup fitToHeight="1" fitToWidth="1" horizontalDpi="300" verticalDpi="300" orientation="landscape" paperSize="9" scale="67" r:id="rId5"/>
  <drawing r:id="rId4"/>
  <legacyDrawing r:id="rId2"/>
  <tableParts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S45"/>
  <sheetViews>
    <sheetView zoomScalePageLayoutView="0" workbookViewId="0" topLeftCell="A1">
      <selection activeCell="O14" sqref="O14"/>
    </sheetView>
  </sheetViews>
  <sheetFormatPr defaultColWidth="9.140625" defaultRowHeight="15" outlineLevelRow="1" outlineLevelCol="1"/>
  <cols>
    <col min="1" max="1" width="11.7109375" style="111" customWidth="1" outlineLevel="1"/>
    <col min="2" max="2" width="7.8515625" style="111" customWidth="1"/>
    <col min="3" max="3" width="38.57421875" style="111" customWidth="1"/>
    <col min="4" max="5" width="11.7109375" style="111" customWidth="1"/>
    <col min="6" max="6" width="10.00390625" style="111" customWidth="1"/>
    <col min="7" max="7" width="12.00390625" style="4" customWidth="1"/>
    <col min="8" max="8" width="12.421875" style="111" hidden="1" customWidth="1" outlineLevel="1"/>
    <col min="9" max="9" width="12.7109375" style="111" hidden="1" customWidth="1" outlineLevel="1" collapsed="1"/>
    <col min="10" max="10" width="12.7109375" style="111" hidden="1" customWidth="1" outlineLevel="1"/>
    <col min="11" max="11" width="12.7109375" style="111" hidden="1" customWidth="1" outlineLevel="1" collapsed="1"/>
    <col min="12" max="12" width="28.00390625" style="111" customWidth="1" collapsed="1"/>
    <col min="13" max="13" width="9.140625" style="111" hidden="1" customWidth="1" outlineLevel="1" collapsed="1"/>
    <col min="14" max="14" width="9.140625" style="111" customWidth="1" collapsed="1"/>
    <col min="15" max="15" width="30.00390625" style="111" bestFit="1" customWidth="1"/>
    <col min="16" max="18" width="9.140625" style="111" customWidth="1"/>
    <col min="19" max="19" width="17.140625" style="111" customWidth="1"/>
    <col min="20" max="16384" width="9.140625" style="111" customWidth="1"/>
  </cols>
  <sheetData>
    <row r="1" spans="1:15" ht="33.75" customHeight="1">
      <c r="A1" s="87"/>
      <c r="B1" s="314"/>
      <c r="C1" s="315"/>
      <c r="D1" s="289" t="s">
        <v>157</v>
      </c>
      <c r="E1" s="290"/>
      <c r="F1" s="290"/>
      <c r="G1" s="290"/>
      <c r="H1" s="290"/>
      <c r="I1" s="290"/>
      <c r="J1" s="290"/>
      <c r="K1" s="290"/>
      <c r="L1" s="291"/>
      <c r="N1" s="97"/>
      <c r="O1" s="196" t="s">
        <v>57</v>
      </c>
    </row>
    <row r="2" spans="1:15" ht="57.75" customHeight="1" thickBot="1">
      <c r="A2" s="88"/>
      <c r="B2" s="316"/>
      <c r="C2" s="317"/>
      <c r="D2" s="292"/>
      <c r="E2" s="293"/>
      <c r="F2" s="293"/>
      <c r="G2" s="293"/>
      <c r="H2" s="293"/>
      <c r="I2" s="293"/>
      <c r="J2" s="293"/>
      <c r="K2" s="293"/>
      <c r="L2" s="294"/>
      <c r="N2" s="97"/>
      <c r="O2" s="45" t="s">
        <v>54</v>
      </c>
    </row>
    <row r="3" spans="2:16" ht="40.5" customHeight="1" thickBot="1">
      <c r="B3" s="295" t="s">
        <v>1</v>
      </c>
      <c r="C3" s="296"/>
      <c r="D3" s="318" t="e">
        <f>РангСоревнований</f>
        <v>#REF!</v>
      </c>
      <c r="E3" s="319"/>
      <c r="F3" s="319"/>
      <c r="G3" s="319"/>
      <c r="H3" s="319"/>
      <c r="I3" s="319"/>
      <c r="J3" s="319"/>
      <c r="K3" s="319"/>
      <c r="L3" s="320"/>
      <c r="N3" s="97"/>
      <c r="O3" s="14"/>
      <c r="P3" s="14"/>
    </row>
    <row r="4" spans="2:18" ht="15.75" customHeight="1">
      <c r="B4" s="298" t="s">
        <v>2</v>
      </c>
      <c r="C4" s="299"/>
      <c r="D4" s="300" t="s">
        <v>47</v>
      </c>
      <c r="E4" s="301"/>
      <c r="F4" s="301"/>
      <c r="G4" s="301"/>
      <c r="H4" s="301"/>
      <c r="I4" s="301"/>
      <c r="J4" s="301"/>
      <c r="K4" s="301"/>
      <c r="L4" s="302"/>
      <c r="N4" s="97"/>
      <c r="O4" s="195" t="s">
        <v>63</v>
      </c>
      <c r="P4" s="14"/>
      <c r="Q4" s="14"/>
      <c r="R4" s="14"/>
    </row>
    <row r="5" spans="2:18" ht="16.5" thickBot="1">
      <c r="B5" s="298" t="s">
        <v>3</v>
      </c>
      <c r="C5" s="299"/>
      <c r="D5" s="322" t="s">
        <v>169</v>
      </c>
      <c r="E5" s="323"/>
      <c r="F5" s="323"/>
      <c r="G5" s="323"/>
      <c r="H5" s="323"/>
      <c r="I5" s="323"/>
      <c r="J5" s="323"/>
      <c r="K5" s="323"/>
      <c r="L5" s="324"/>
      <c r="N5" s="97"/>
      <c r="O5" s="45" t="s">
        <v>61</v>
      </c>
      <c r="P5" s="14"/>
      <c r="Q5" s="14"/>
      <c r="R5" s="14"/>
    </row>
    <row r="6" spans="2:19" ht="15.75" customHeight="1">
      <c r="B6" s="298" t="s">
        <v>4</v>
      </c>
      <c r="C6" s="299"/>
      <c r="D6" s="318" t="e">
        <f>S7</f>
        <v>#REF!</v>
      </c>
      <c r="E6" s="319"/>
      <c r="F6" s="319"/>
      <c r="G6" s="319"/>
      <c r="H6" s="319"/>
      <c r="I6" s="319"/>
      <c r="J6" s="319"/>
      <c r="K6" s="319"/>
      <c r="L6" s="320"/>
      <c r="N6" s="97"/>
      <c r="O6" s="36" t="s">
        <v>65</v>
      </c>
      <c r="P6" s="33" t="s">
        <v>89</v>
      </c>
      <c r="Q6" s="32" t="s">
        <v>90</v>
      </c>
      <c r="R6" s="64" t="s">
        <v>91</v>
      </c>
      <c r="S6" s="67" t="s">
        <v>148</v>
      </c>
    </row>
    <row r="7" spans="2:19" ht="16.5" customHeight="1" thickBot="1">
      <c r="B7" s="298" t="s">
        <v>5</v>
      </c>
      <c r="C7" s="299"/>
      <c r="D7" s="318" t="e">
        <f>ранг</f>
        <v>#REF!</v>
      </c>
      <c r="E7" s="319"/>
      <c r="F7" s="319"/>
      <c r="G7" s="319"/>
      <c r="H7" s="319"/>
      <c r="I7" s="319"/>
      <c r="J7" s="319"/>
      <c r="K7" s="319"/>
      <c r="L7" s="320"/>
      <c r="N7" s="97"/>
      <c r="O7" s="35" t="e">
        <f>ROUND(SUMIF('К2-Ж-итог'!$J$12:$J$16,TRUE,'К2-Ж-итог'!$K$12:$K$16)*VLOOKUP(с_вид_участия,т_вид_участия,3,0),0)</f>
        <v>#REF!</v>
      </c>
      <c r="P7" s="34" t="e">
        <f>VLOOKUP(O7,т_время_победителя,2,1)</f>
        <v>#REF!</v>
      </c>
      <c r="Q7" s="30" t="e">
        <f>VLOOKUP(O7,т_время_победителя,3,1)</f>
        <v>#REF!</v>
      </c>
      <c r="R7" s="31" t="e">
        <f>VLOOKUP(O7,т_время_победителя,4,1)</f>
        <v>#REF!</v>
      </c>
      <c r="S7" s="74" t="e">
        <f>VLOOKUP(ранг,т_класс_дистанции,2,1)</f>
        <v>#REF!</v>
      </c>
    </row>
    <row r="8" spans="1:19" ht="15.75" hidden="1">
      <c r="A8" s="13"/>
      <c r="B8" s="13"/>
      <c r="C8" s="13"/>
      <c r="D8" s="13"/>
      <c r="E8" s="13"/>
      <c r="F8" s="13"/>
      <c r="G8" s="13"/>
      <c r="H8" s="13"/>
      <c r="I8" s="13"/>
      <c r="J8" s="23"/>
      <c r="K8" s="23"/>
      <c r="L8" s="1"/>
      <c r="O8" s="85"/>
      <c r="P8" s="179"/>
      <c r="Q8" s="179"/>
      <c r="R8" s="179"/>
      <c r="S8" s="86"/>
    </row>
    <row r="9" spans="1:12" ht="15">
      <c r="A9" s="1"/>
      <c r="B9" s="1"/>
      <c r="C9" s="1"/>
      <c r="D9" s="1"/>
      <c r="E9" s="1"/>
      <c r="F9" s="1"/>
      <c r="G9" s="2"/>
      <c r="H9" s="1"/>
      <c r="I9" s="1"/>
      <c r="J9" s="1"/>
      <c r="K9" s="1"/>
      <c r="L9" s="1"/>
    </row>
    <row r="10" spans="1:12" ht="15.75">
      <c r="A10" s="307" t="s">
        <v>42</v>
      </c>
      <c r="B10" s="307"/>
      <c r="C10" s="307"/>
      <c r="D10" s="307"/>
      <c r="E10" s="307"/>
      <c r="F10" s="307"/>
      <c r="G10" s="307"/>
      <c r="H10" s="307"/>
      <c r="I10" s="307"/>
      <c r="J10" s="307"/>
      <c r="K10" s="307"/>
      <c r="L10" s="307"/>
    </row>
    <row r="11" spans="1:13" ht="45">
      <c r="A11" s="79" t="s">
        <v>33</v>
      </c>
      <c r="B11" s="167" t="s">
        <v>39</v>
      </c>
      <c r="C11" s="153" t="s">
        <v>41</v>
      </c>
      <c r="D11" s="155" t="s">
        <v>143</v>
      </c>
      <c r="E11" s="155" t="s">
        <v>144</v>
      </c>
      <c r="F11" s="158" t="s">
        <v>40</v>
      </c>
      <c r="G11" s="159" t="s">
        <v>0</v>
      </c>
      <c r="H11" s="69" t="s">
        <v>46</v>
      </c>
      <c r="I11" s="15" t="s">
        <v>45</v>
      </c>
      <c r="J11" s="15" t="s">
        <v>64</v>
      </c>
      <c r="K11" s="15" t="s">
        <v>59</v>
      </c>
      <c r="L11" s="70" t="s">
        <v>8</v>
      </c>
      <c r="M11" s="99" t="s">
        <v>161</v>
      </c>
    </row>
    <row r="12" spans="1:13" ht="18" customHeight="1">
      <c r="A12" s="173"/>
      <c r="B12" s="16">
        <f>_xlfn.IFERROR(VLOOKUP(#REF!,#REF!,2,0),0)</f>
        <v>0</v>
      </c>
      <c r="C12" s="161">
        <f>_xlfn.IFERROR(VLOOKUP('К2-Ж-итог'!$A12,#REF!,3,0),0)</f>
        <v>0</v>
      </c>
      <c r="D12" s="62" t="e">
        <f>VLOOKUP('К2-Ж-итог'!$A12,'К2-Ж-1п'!$A$12:$AE$26,COLUMN('К2-Ж-1п'!$AE$12:$AE$26),0)</f>
        <v>#N/A</v>
      </c>
      <c r="E12" s="62" t="e">
        <f>VLOOKUP('К2-Ж-итог'!$A12,'К2-Ж-2п'!$A$12:$AE$26,COLUMN('К2-Ж-2п'!$AE$12:$AE$26),0)</f>
        <v>#N/A</v>
      </c>
      <c r="F12" s="162" t="e">
        <f>'К2-Ж-итог'!$D12+'К2-Ж-итог'!$E12</f>
        <v>#N/A</v>
      </c>
      <c r="G12" s="163" t="e">
        <f>IF((COUNTIF('К2-Ж-итог'!$M$12:$M$16,'К2-Ж-итог'!$M12)-1)=0,RANK('К2-Ж-итог'!$M12,'К2-Ж-итог'!$M$12:$M$16,1),RANK('К2-Ж-итог'!$M12,'К2-Ж-итог'!$M$12:$M$16,1)&amp;"-"&amp;RANK('К2-Ж-итог'!$M12,'К2-Ж-итог'!$M$12:$M$16,1)+COUNTIF('К2-Ж-итог'!$M$12:$M$16,'К2-Ж-итог'!$M12)-1)</f>
        <v>#N/A</v>
      </c>
      <c r="H12" s="135" t="e">
        <f>HLOOKUP(ВидДистанции,ТаблицаБаллов,MATCH('К2-Ж-итог'!$G12,ЗанятоеМесто,0),0)</f>
        <v>#REF!</v>
      </c>
      <c r="I12" s="136" t="e">
        <f>100*'К2-Ж-итог'!$F12/MIN('К2-Ж-итог'!$F$12:$F$16)</f>
        <v>#N/A</v>
      </c>
      <c r="J12" s="21" t="e">
        <f>'К2-Ж-итог'!$G12&lt;=VLOOKUP($O$5,т_вид_участия,2,0)</f>
        <v>#N/A</v>
      </c>
      <c r="K12" s="53" t="e">
        <f>IF('К2-Ж-итог'!$J12=FALSE,0,VLOOKUP('К2-Ж-итог'!$A12,#REF!,COLUMN(#REF!),0))</f>
        <v>#N/A</v>
      </c>
      <c r="L12" s="137" t="e">
        <f>IF('К2-Ж-итог'!$I12&lt;=$P$7,"1 разряд",IF('К2-Ж-итог'!$I12&lt;=$Q$7,"2 разряд",IF('К2-Ж-итог'!$I12&lt;=$R$7,"3 разряд","")))</f>
        <v>#N/A</v>
      </c>
      <c r="M12" s="100" t="e">
        <f>'К2-Ж-итог'!$D12+'К2-Ж-итог'!$E12+'К2-Ж-итог'!$F12</f>
        <v>#N/A</v>
      </c>
    </row>
    <row r="13" spans="1:13" ht="15.75">
      <c r="A13" s="173"/>
      <c r="B13" s="16">
        <f>_xlfn.IFERROR(VLOOKUP(#REF!,#REF!,2,0),0)</f>
        <v>0</v>
      </c>
      <c r="C13" s="161">
        <f>_xlfn.IFERROR(VLOOKUP('К2-Ж-итог'!$A13,#REF!,3,0),0)</f>
        <v>0</v>
      </c>
      <c r="D13" s="62" t="e">
        <f>VLOOKUP('К2-Ж-итог'!$A13,'К2-Ж-1п'!$A$12:$AE$26,COLUMN('К2-Ж-1п'!$AE$12:$AE$26),0)</f>
        <v>#N/A</v>
      </c>
      <c r="E13" s="62" t="e">
        <f>VLOOKUP('К2-Ж-итог'!$A13,'К2-Ж-2п'!$A$12:$AE$26,COLUMN('К2-Ж-2п'!$AE$12:$AE$26),0)</f>
        <v>#N/A</v>
      </c>
      <c r="F13" s="162" t="e">
        <f>'К2-Ж-итог'!$D13+'К2-Ж-итог'!$E13</f>
        <v>#N/A</v>
      </c>
      <c r="G13" s="163" t="e">
        <f>IF((COUNTIF('К2-Ж-итог'!$M$12:$M$16,'К2-Ж-итог'!$M13)-1)=0,RANK('К2-Ж-итог'!$M13,'К2-Ж-итог'!$M$12:$M$16,1),RANK('К2-Ж-итог'!$M13,'К2-Ж-итог'!$M$12:$M$16,1)&amp;"-"&amp;RANK('К2-Ж-итог'!$M13,'К2-Ж-итог'!$M$12:$M$16,1)+COUNTIF('К2-Ж-итог'!$M$12:$M$16,'К2-Ж-итог'!$M13)-1)</f>
        <v>#N/A</v>
      </c>
      <c r="H13" s="135" t="e">
        <f>HLOOKUP(ВидДистанции,ТаблицаБаллов,MATCH('К2-Ж-итог'!$G13,ЗанятоеМесто,0),0)</f>
        <v>#REF!</v>
      </c>
      <c r="I13" s="136" t="e">
        <f>100*'К2-Ж-итог'!$F13/MIN('К2-Ж-итог'!$F$12:$F$16)</f>
        <v>#N/A</v>
      </c>
      <c r="J13" s="21" t="e">
        <f>'К2-Ж-итог'!$G13&lt;=VLOOKUP($O$5,т_вид_участия,2,0)</f>
        <v>#N/A</v>
      </c>
      <c r="K13" s="53" t="e">
        <f>IF('К2-Ж-итог'!$J13=FALSE,0,VLOOKUP('К2-Ж-итог'!$A13,#REF!,COLUMN(#REF!),0))</f>
        <v>#N/A</v>
      </c>
      <c r="L13" s="137" t="e">
        <f>IF('К2-Ж-итог'!$I13&lt;=$P$7,"1 разряд",IF('К2-Ж-итог'!$I13&lt;=$Q$7,"2 разряд",IF('К2-Ж-итог'!$I13&lt;=$R$7,"3 разряд","")))</f>
        <v>#N/A</v>
      </c>
      <c r="M13" s="100" t="e">
        <f>'К2-Ж-итог'!$D13+'К2-Ж-итог'!$E13+'К2-Ж-итог'!$F13</f>
        <v>#N/A</v>
      </c>
    </row>
    <row r="14" spans="1:13" ht="15.75">
      <c r="A14" s="173"/>
      <c r="B14" s="16">
        <f>_xlfn.IFERROR(VLOOKUP(#REF!,#REF!,2,0),0)</f>
        <v>0</v>
      </c>
      <c r="C14" s="161">
        <f>_xlfn.IFERROR(VLOOKUP('К2-Ж-итог'!$A14,#REF!,3,0),0)</f>
        <v>0</v>
      </c>
      <c r="D14" s="62" t="e">
        <f>VLOOKUP('К2-Ж-итог'!$A14,'К2-Ж-1п'!$A$12:$AE$26,COLUMN('К2-Ж-1п'!$AE$12:$AE$26),0)</f>
        <v>#N/A</v>
      </c>
      <c r="E14" s="62" t="e">
        <f>VLOOKUP('К2-Ж-итог'!$A14,'К2-Ж-2п'!$A$12:$AE$26,COLUMN('К2-Ж-2п'!$AE$12:$AE$26),0)</f>
        <v>#N/A</v>
      </c>
      <c r="F14" s="162" t="e">
        <f>'К2-Ж-итог'!$D14+'К2-Ж-итог'!$E14</f>
        <v>#N/A</v>
      </c>
      <c r="G14" s="163" t="e">
        <f>IF((COUNTIF('К2-Ж-итог'!$M$12:$M$16,'К2-Ж-итог'!$M14)-1)=0,RANK('К2-Ж-итог'!$M14,'К2-Ж-итог'!$M$12:$M$16,1),RANK('К2-Ж-итог'!$M14,'К2-Ж-итог'!$M$12:$M$16,1)&amp;"-"&amp;RANK('К2-Ж-итог'!$M14,'К2-Ж-итог'!$M$12:$M$16,1)+COUNTIF('К2-Ж-итог'!$M$12:$M$16,'К2-Ж-итог'!$M14)-1)</f>
        <v>#N/A</v>
      </c>
      <c r="H14" s="135" t="e">
        <f>HLOOKUP(ВидДистанции,ТаблицаБаллов,MATCH('К2-Ж-итог'!$G14,ЗанятоеМесто,0),0)</f>
        <v>#REF!</v>
      </c>
      <c r="I14" s="136" t="e">
        <f>100*'К2-Ж-итог'!$F14/MIN('К2-Ж-итог'!$F$12:$F$16)</f>
        <v>#N/A</v>
      </c>
      <c r="J14" s="21" t="e">
        <f>'К2-Ж-итог'!$G14&lt;=VLOOKUP($O$5,т_вид_участия,2,0)</f>
        <v>#N/A</v>
      </c>
      <c r="K14" s="53" t="e">
        <f>IF('К2-Ж-итог'!$J14=FALSE,0,VLOOKUP('К2-Ж-итог'!$A14,#REF!,COLUMN(#REF!),0))</f>
        <v>#N/A</v>
      </c>
      <c r="L14" s="137" t="e">
        <f>IF('К2-Ж-итог'!$I14&lt;=$P$7,"1 разряд",IF('К2-Ж-итог'!$I14&lt;=$Q$7,"2 разряд",IF('К2-Ж-итог'!$I14&lt;=$R$7,"3 разряд","")))</f>
        <v>#N/A</v>
      </c>
      <c r="M14" s="100" t="e">
        <f>'К2-Ж-итог'!$D14+'К2-Ж-итог'!$E14+'К2-Ж-итог'!$F14</f>
        <v>#N/A</v>
      </c>
    </row>
    <row r="15" spans="1:13" ht="15.75">
      <c r="A15" s="173"/>
      <c r="B15" s="16">
        <f>_xlfn.IFERROR(VLOOKUP(#REF!,#REF!,2,0),0)</f>
        <v>0</v>
      </c>
      <c r="C15" s="161">
        <f>_xlfn.IFERROR(VLOOKUP('К2-Ж-итог'!$A15,#REF!,3,0),0)</f>
        <v>0</v>
      </c>
      <c r="D15" s="62" t="e">
        <f>VLOOKUP('К2-Ж-итог'!$A15,'К2-Ж-1п'!$A$12:$AE$26,COLUMN('К2-Ж-1п'!$AE$12:$AE$26),0)</f>
        <v>#N/A</v>
      </c>
      <c r="E15" s="62" t="e">
        <f>VLOOKUP('К2-Ж-итог'!$A15,'К2-Ж-2п'!$A$12:$AE$26,COLUMN('К2-Ж-2п'!$AE$12:$AE$26),0)</f>
        <v>#N/A</v>
      </c>
      <c r="F15" s="162" t="e">
        <f>'К2-Ж-итог'!$D15+'К2-Ж-итог'!$E15</f>
        <v>#N/A</v>
      </c>
      <c r="G15" s="163" t="e">
        <f>IF((COUNTIF('К2-Ж-итог'!$M$12:$M$16,'К2-Ж-итог'!$M15)-1)=0,RANK('К2-Ж-итог'!$M15,'К2-Ж-итог'!$M$12:$M$16,1),RANK('К2-Ж-итог'!$M15,'К2-Ж-итог'!$M$12:$M$16,1)&amp;"-"&amp;RANK('К2-Ж-итог'!$M15,'К2-Ж-итог'!$M$12:$M$16,1)+COUNTIF('К2-Ж-итог'!$M$12:$M$16,'К2-Ж-итог'!$M15)-1)</f>
        <v>#N/A</v>
      </c>
      <c r="H15" s="135" t="e">
        <f>HLOOKUP(ВидДистанции,ТаблицаБаллов,MATCH('К2-Ж-итог'!$G15,ЗанятоеМесто,0),0)</f>
        <v>#REF!</v>
      </c>
      <c r="I15" s="136" t="e">
        <f>100*'К2-Ж-итог'!$F15/MIN('К2-Ж-итог'!$F$12:$F$16)</f>
        <v>#N/A</v>
      </c>
      <c r="J15" s="21" t="e">
        <f>'К2-Ж-итог'!$G15&lt;=VLOOKUP($O$5,т_вид_участия,2,0)</f>
        <v>#N/A</v>
      </c>
      <c r="K15" s="53" t="e">
        <f>IF('К2-Ж-итог'!$J15=FALSE,0,VLOOKUP('К2-Ж-итог'!$A15,#REF!,COLUMN(#REF!),0))</f>
        <v>#N/A</v>
      </c>
      <c r="L15" s="137" t="e">
        <f>IF('К2-Ж-итог'!$I15&lt;=$P$7,"1 разряд",IF('К2-Ж-итог'!$I15&lt;=$Q$7,"2 разряд",IF('К2-Ж-итог'!$I15&lt;=$R$7,"3 разряд","")))</f>
        <v>#N/A</v>
      </c>
      <c r="M15" s="100" t="e">
        <f>'К2-Ж-итог'!$D15+'К2-Ж-итог'!$E15+'К2-Ж-итог'!$F15</f>
        <v>#N/A</v>
      </c>
    </row>
    <row r="16" spans="1:13" ht="15.75">
      <c r="A16" s="173"/>
      <c r="B16" s="16">
        <f>_xlfn.IFERROR(VLOOKUP(#REF!,#REF!,2,0),0)</f>
        <v>0</v>
      </c>
      <c r="C16" s="161">
        <f>_xlfn.IFERROR(VLOOKUP('К2-Ж-итог'!$A16,#REF!,3,0),0)</f>
        <v>0</v>
      </c>
      <c r="D16" s="62" t="e">
        <f>VLOOKUP('К2-Ж-итог'!$A16,'К2-Ж-1п'!$A$12:$AE$26,COLUMN('К2-Ж-1п'!$AE$12:$AE$26),0)</f>
        <v>#N/A</v>
      </c>
      <c r="E16" s="62" t="e">
        <f>VLOOKUP('К2-Ж-итог'!$A16,'К2-Ж-2п'!$A$12:$AE$26,COLUMN('К2-Ж-2п'!$AE$12:$AE$26),0)</f>
        <v>#N/A</v>
      </c>
      <c r="F16" s="162" t="e">
        <f>'К2-Ж-итог'!$D16+'К2-Ж-итог'!$E16</f>
        <v>#N/A</v>
      </c>
      <c r="G16" s="163" t="e">
        <f>IF((COUNTIF('К2-Ж-итог'!$M$12:$M$16,'К2-Ж-итог'!$M16)-1)=0,RANK('К2-Ж-итог'!$M16,'К2-Ж-итог'!$M$12:$M$16,1),RANK('К2-Ж-итог'!$M16,'К2-Ж-итог'!$M$12:$M$16,1)&amp;"-"&amp;RANK('К2-Ж-итог'!$M16,'К2-Ж-итог'!$M$12:$M$16,1)+COUNTIF('К2-Ж-итог'!$M$12:$M$16,'К2-Ж-итог'!$M16)-1)</f>
        <v>#N/A</v>
      </c>
      <c r="H16" s="135" t="e">
        <f>HLOOKUP(ВидДистанции,ТаблицаБаллов,MATCH('К2-Ж-итог'!$G16,ЗанятоеМесто,0),0)</f>
        <v>#REF!</v>
      </c>
      <c r="I16" s="136" t="e">
        <f>100*'К2-Ж-итог'!$F16/MIN('К2-Ж-итог'!$F$12:$F$16)</f>
        <v>#N/A</v>
      </c>
      <c r="J16" s="21" t="e">
        <f>'К2-Ж-итог'!$G16&lt;=VLOOKUP($O$5,т_вид_участия,2,0)</f>
        <v>#N/A</v>
      </c>
      <c r="K16" s="53" t="e">
        <f>IF('К2-Ж-итог'!$J16=FALSE,0,VLOOKUP('К2-Ж-итог'!$A16,#REF!,COLUMN(#REF!),0))</f>
        <v>#N/A</v>
      </c>
      <c r="L16" s="137" t="e">
        <f>IF('К2-Ж-итог'!$I16&lt;=$P$7,"1 разряд",IF('К2-Ж-итог'!$I16&lt;=$Q$7,"2 разряд",IF('К2-Ж-итог'!$I16&lt;=$R$7,"3 разряд","")))</f>
        <v>#N/A</v>
      </c>
      <c r="M16" s="100" t="e">
        <f>'К2-Ж-итог'!$D16+'К2-Ж-итог'!$E16+'К2-Ж-итог'!$F16</f>
        <v>#N/A</v>
      </c>
    </row>
    <row r="17" spans="1:12" ht="25.5" customHeight="1" outlineLevel="1">
      <c r="A17" s="325" t="s">
        <v>159</v>
      </c>
      <c r="B17" s="325"/>
      <c r="C17" s="325"/>
      <c r="D17" s="325"/>
      <c r="E17" s="325"/>
      <c r="F17" s="325"/>
      <c r="G17" s="181" t="e">
        <f>"Класс дистанции - "&amp;VLOOKUP(ранг,т_класс_дистанции,3,1)&amp;""</f>
        <v>#REF!</v>
      </c>
      <c r="H17" s="321" t="e">
        <f>"Квалификационный ранг  - "&amp;O7</f>
        <v>#REF!</v>
      </c>
      <c r="I17" s="321"/>
      <c r="J17" s="321"/>
      <c r="K17" s="321"/>
      <c r="L17" s="321"/>
    </row>
    <row r="18" spans="1:12" ht="24" customHeight="1" outlineLevel="1">
      <c r="A18" s="325"/>
      <c r="B18" s="325"/>
      <c r="C18" s="325"/>
      <c r="D18" s="325"/>
      <c r="E18" s="325"/>
      <c r="F18" s="325"/>
      <c r="G18" s="181" t="s">
        <v>11</v>
      </c>
      <c r="H18" s="321" t="e">
        <f>IF(P7=0,"не присваивается",P7&amp;" % от результата победителя")</f>
        <v>#REF!</v>
      </c>
      <c r="I18" s="321"/>
      <c r="J18" s="321"/>
      <c r="K18" s="321"/>
      <c r="L18" s="321"/>
    </row>
    <row r="19" spans="1:12" ht="24" customHeight="1" outlineLevel="1">
      <c r="A19" s="26"/>
      <c r="B19" s="26"/>
      <c r="C19" s="27"/>
      <c r="D19" s="28"/>
      <c r="E19" s="25"/>
      <c r="G19" s="181" t="s">
        <v>12</v>
      </c>
      <c r="H19" s="321" t="e">
        <f>IF(Q7=0,"не присваивается",Q7&amp;" % от результата победителя")</f>
        <v>#REF!</v>
      </c>
      <c r="I19" s="321"/>
      <c r="J19" s="321"/>
      <c r="K19" s="321"/>
      <c r="L19" s="321"/>
    </row>
    <row r="20" spans="1:12" ht="24" customHeight="1" outlineLevel="1">
      <c r="A20" s="26"/>
      <c r="B20" s="26"/>
      <c r="C20" s="27"/>
      <c r="D20" s="28"/>
      <c r="E20" s="25"/>
      <c r="G20" s="181" t="s">
        <v>13</v>
      </c>
      <c r="H20" s="321" t="e">
        <f>R7&amp;" % от результата победителя"</f>
        <v>#REF!</v>
      </c>
      <c r="I20" s="321"/>
      <c r="J20" s="321"/>
      <c r="K20" s="321"/>
      <c r="L20" s="321"/>
    </row>
    <row r="21" spans="1:11" ht="15">
      <c r="A21" s="25"/>
      <c r="B21" s="25"/>
      <c r="C21" s="25"/>
      <c r="D21" s="25"/>
      <c r="E21" s="25"/>
      <c r="F21" s="3"/>
      <c r="G21" s="5"/>
      <c r="H21" s="3"/>
      <c r="I21" s="1"/>
      <c r="J21" s="1"/>
      <c r="K21" s="1"/>
    </row>
    <row r="22" spans="1:8" ht="15.75">
      <c r="A22" s="326" t="s">
        <v>7</v>
      </c>
      <c r="B22" s="326"/>
      <c r="C22" s="326"/>
      <c r="D22" s="304"/>
      <c r="E22" s="304"/>
      <c r="F22" s="54" t="e">
        <f>фиосудья</f>
        <v>#REF!</v>
      </c>
      <c r="G22" s="179"/>
      <c r="H22" s="14"/>
    </row>
    <row r="23" spans="1:8" ht="15.75">
      <c r="A23" s="326" t="s">
        <v>6</v>
      </c>
      <c r="B23" s="326"/>
      <c r="C23" s="326"/>
      <c r="D23" s="179"/>
      <c r="E23" s="179"/>
      <c r="F23" s="12" t="e">
        <f>фиосекретарь</f>
        <v>#REF!</v>
      </c>
      <c r="G23" s="179"/>
      <c r="H23" s="14"/>
    </row>
    <row r="24" spans="1:8" ht="15">
      <c r="A24" s="303" t="e">
        <f>дата_протокол</f>
        <v>#REF!</v>
      </c>
      <c r="B24" s="303"/>
      <c r="C24" s="303"/>
      <c r="D24" s="304"/>
      <c r="E24" s="304"/>
      <c r="F24" s="14"/>
      <c r="G24" s="179"/>
      <c r="H24" s="14"/>
    </row>
    <row r="25" spans="1:8" ht="15">
      <c r="A25" s="14"/>
      <c r="B25" s="14"/>
      <c r="C25" s="14"/>
      <c r="D25" s="14"/>
      <c r="E25" s="14"/>
      <c r="F25" s="14"/>
      <c r="G25" s="179"/>
      <c r="H25" s="14"/>
    </row>
    <row r="26" spans="1:8" ht="15">
      <c r="A26" s="14"/>
      <c r="B26" s="14"/>
      <c r="C26" s="14"/>
      <c r="D26" s="14"/>
      <c r="E26" s="14"/>
      <c r="F26" s="14"/>
      <c r="G26" s="179"/>
      <c r="H26" s="14"/>
    </row>
    <row r="27" spans="1:8" ht="15">
      <c r="A27" s="14"/>
      <c r="B27" s="14"/>
      <c r="F27" s="14"/>
      <c r="G27" s="179"/>
      <c r="H27" s="14"/>
    </row>
    <row r="28" spans="1:8" ht="15">
      <c r="A28" s="179"/>
      <c r="B28" s="179"/>
      <c r="F28" s="179"/>
      <c r="G28" s="179"/>
      <c r="H28" s="14"/>
    </row>
    <row r="29" spans="1:8" ht="15">
      <c r="A29" s="14"/>
      <c r="B29" s="14"/>
      <c r="C29" s="14"/>
      <c r="D29" s="14"/>
      <c r="E29" s="14"/>
      <c r="F29" s="14"/>
      <c r="G29" s="179"/>
      <c r="H29" s="14"/>
    </row>
    <row r="30" spans="1:8" ht="15">
      <c r="A30" s="14"/>
      <c r="B30" s="14"/>
      <c r="F30" s="14"/>
      <c r="G30" s="179"/>
      <c r="H30" s="14"/>
    </row>
    <row r="31" spans="1:13" ht="15">
      <c r="A31" s="14"/>
      <c r="B31" s="14"/>
      <c r="F31" s="14"/>
      <c r="G31" s="179"/>
      <c r="H31" s="14"/>
      <c r="I31" s="14"/>
      <c r="J31" s="14"/>
      <c r="K31" s="14"/>
      <c r="L31" s="14"/>
      <c r="M31" s="14"/>
    </row>
    <row r="32" spans="1:13" ht="15">
      <c r="A32" s="14"/>
      <c r="B32" s="14"/>
      <c r="F32" s="14"/>
      <c r="G32" s="179"/>
      <c r="H32" s="14"/>
      <c r="I32" s="14"/>
      <c r="J32" s="14"/>
      <c r="K32" s="14"/>
      <c r="L32" s="14"/>
      <c r="M32" s="14"/>
    </row>
    <row r="33" spans="1:13" ht="15">
      <c r="A33" s="14"/>
      <c r="B33" s="14"/>
      <c r="F33" s="14"/>
      <c r="G33" s="179"/>
      <c r="H33" s="14"/>
      <c r="I33" s="14"/>
      <c r="J33" s="14"/>
      <c r="K33" s="14"/>
      <c r="L33" s="14"/>
      <c r="M33" s="14"/>
    </row>
    <row r="34" spans="1:13" ht="15">
      <c r="A34" s="14"/>
      <c r="B34" s="14"/>
      <c r="F34" s="14"/>
      <c r="G34" s="179"/>
      <c r="H34" s="14"/>
      <c r="I34" s="14"/>
      <c r="J34" s="14"/>
      <c r="K34" s="14"/>
      <c r="L34" s="14"/>
      <c r="M34" s="14"/>
    </row>
    <row r="35" spans="1:13" ht="15">
      <c r="A35" s="14"/>
      <c r="B35" s="14"/>
      <c r="F35" s="14"/>
      <c r="G35" s="179"/>
      <c r="H35" s="14"/>
      <c r="I35" s="14"/>
      <c r="J35" s="14"/>
      <c r="K35" s="14"/>
      <c r="L35" s="14"/>
      <c r="M35" s="14"/>
    </row>
    <row r="36" spans="1:13" ht="15">
      <c r="A36" s="14"/>
      <c r="B36" s="14"/>
      <c r="F36" s="9"/>
      <c r="G36" s="179"/>
      <c r="H36" s="14"/>
      <c r="I36" s="14"/>
      <c r="J36" s="14"/>
      <c r="K36" s="14"/>
      <c r="L36" s="14"/>
      <c r="M36" s="14"/>
    </row>
    <row r="37" spans="6:13" ht="15">
      <c r="F37" s="14"/>
      <c r="G37" s="179"/>
      <c r="H37" s="14"/>
      <c r="I37" s="14"/>
      <c r="J37" s="14"/>
      <c r="K37" s="14"/>
      <c r="L37" s="14"/>
      <c r="M37" s="14"/>
    </row>
    <row r="38" spans="5:13" ht="15">
      <c r="E38" s="14"/>
      <c r="F38" s="14"/>
      <c r="G38" s="179"/>
      <c r="H38" s="14"/>
      <c r="I38" s="14"/>
      <c r="J38" s="14"/>
      <c r="K38" s="14"/>
      <c r="L38" s="14"/>
      <c r="M38" s="14"/>
    </row>
    <row r="39" spans="5:13" ht="15">
      <c r="E39" s="14"/>
      <c r="F39" s="14"/>
      <c r="G39" s="179"/>
      <c r="H39" s="14"/>
      <c r="I39" s="14"/>
      <c r="J39" s="14"/>
      <c r="K39" s="14"/>
      <c r="L39" s="14"/>
      <c r="M39" s="14"/>
    </row>
    <row r="40" spans="5:13" ht="15">
      <c r="E40" s="14"/>
      <c r="F40" s="14"/>
      <c r="G40" s="179"/>
      <c r="H40" s="14"/>
      <c r="I40" s="14"/>
      <c r="J40" s="14"/>
      <c r="K40" s="14"/>
      <c r="L40" s="14"/>
      <c r="M40" s="14"/>
    </row>
    <row r="41" spans="5:13" ht="15">
      <c r="E41" s="14"/>
      <c r="F41" s="14"/>
      <c r="G41" s="179"/>
      <c r="H41" s="14"/>
      <c r="I41" s="14"/>
      <c r="J41" s="14"/>
      <c r="K41" s="14"/>
      <c r="L41" s="14"/>
      <c r="M41" s="14"/>
    </row>
    <row r="42" spans="5:13" ht="15">
      <c r="E42" s="14"/>
      <c r="F42" s="14"/>
      <c r="G42" s="179"/>
      <c r="H42" s="14"/>
      <c r="I42" s="14"/>
      <c r="J42" s="14"/>
      <c r="K42" s="14"/>
      <c r="L42" s="14"/>
      <c r="M42" s="14"/>
    </row>
    <row r="43" spans="5:13" ht="15">
      <c r="E43" s="14"/>
      <c r="F43" s="14"/>
      <c r="G43" s="179"/>
      <c r="H43" s="14"/>
      <c r="I43" s="14"/>
      <c r="J43" s="14"/>
      <c r="K43" s="14"/>
      <c r="L43" s="14"/>
      <c r="M43" s="14"/>
    </row>
    <row r="44" spans="6:13" ht="15">
      <c r="F44" s="14"/>
      <c r="G44" s="179"/>
      <c r="H44" s="14"/>
      <c r="I44" s="14"/>
      <c r="J44" s="14"/>
      <c r="K44" s="14"/>
      <c r="L44" s="14"/>
      <c r="M44" s="14"/>
    </row>
    <row r="45" spans="6:13" ht="15">
      <c r="F45" s="14"/>
      <c r="G45" s="179"/>
      <c r="H45" s="14"/>
      <c r="I45" s="14"/>
      <c r="J45" s="14"/>
      <c r="K45" s="14"/>
      <c r="L45" s="14"/>
      <c r="M45" s="14"/>
    </row>
  </sheetData>
  <sheetProtection/>
  <mergeCells count="23">
    <mergeCell ref="A22:C22"/>
    <mergeCell ref="D22:E22"/>
    <mergeCell ref="A23:C23"/>
    <mergeCell ref="A24:C24"/>
    <mergeCell ref="D24:E24"/>
    <mergeCell ref="H20:L20"/>
    <mergeCell ref="B5:C5"/>
    <mergeCell ref="D5:L5"/>
    <mergeCell ref="B6:C6"/>
    <mergeCell ref="D6:L6"/>
    <mergeCell ref="B7:C7"/>
    <mergeCell ref="D7:L7"/>
    <mergeCell ref="A10:L10"/>
    <mergeCell ref="A17:F18"/>
    <mergeCell ref="H17:L17"/>
    <mergeCell ref="H18:L18"/>
    <mergeCell ref="H19:L19"/>
    <mergeCell ref="B1:C2"/>
    <mergeCell ref="D1:L2"/>
    <mergeCell ref="B3:C3"/>
    <mergeCell ref="D3:L3"/>
    <mergeCell ref="B4:C4"/>
    <mergeCell ref="D4:L4"/>
  </mergeCells>
  <dataValidations count="7">
    <dataValidation type="time" operator="greaterThanOrEqual" allowBlank="1" showInputMessage="1" sqref="E12">
      <formula1>0</formula1>
    </dataValidation>
    <dataValidation errorStyle="information" type="time" operator="greaterThanOrEqual" allowBlank="1" errorTitle="сообщениеаа" sqref="D12">
      <formula1>0</formula1>
    </dataValidation>
    <dataValidation type="list" allowBlank="1" showInputMessage="1" showErrorMessage="1" sqref="D4">
      <formula1>дисциплины</formula1>
    </dataValidation>
    <dataValidation type="time" operator="greaterThanOrEqual" allowBlank="1" showInputMessage="1" showErrorMessage="1" sqref="D13:D16">
      <formula1>0</formula1>
    </dataValidation>
    <dataValidation type="whole" operator="greaterThan" allowBlank="1" showErrorMessage="1" errorTitle="Внимание!" error="Данные в этой ячейке должны быть целым числом без любых дополнительных знаков." sqref="B12:B16">
      <formula1>0</formula1>
    </dataValidation>
    <dataValidation type="list" allowBlank="1" showInputMessage="1" showErrorMessage="1" sqref="O5">
      <formula1>вид_участия</formula1>
    </dataValidation>
    <dataValidation type="list" allowBlank="1" showInputMessage="1" showErrorMessage="1" sqref="O2">
      <formula1>дистанцииБаллы</formula1>
    </dataValidation>
  </dataValidations>
  <printOptions/>
  <pageMargins left="0.5905511811023623" right="0.5905511811023623" top="0.5905511811023623" bottom="0.5905511811023623" header="0" footer="0"/>
  <pageSetup fitToHeight="1" fitToWidth="1" horizontalDpi="300" verticalDpi="300" orientation="landscape" paperSize="9" scale="98" r:id="rId5"/>
  <drawing r:id="rId4"/>
  <legacyDrawing r:id="rId2"/>
  <tableParts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Каява</dc:creator>
  <cp:keywords/>
  <dc:description>Вопросы и замечания можно кидать на почту igstik@gmail_com</dc:description>
  <cp:lastModifiedBy>User</cp:lastModifiedBy>
  <cp:lastPrinted>2018-05-20T08:43:07Z</cp:lastPrinted>
  <dcterms:created xsi:type="dcterms:W3CDTF">2012-05-19T07:52:48Z</dcterms:created>
  <dcterms:modified xsi:type="dcterms:W3CDTF">2018-05-27T08:17:53Z</dcterms:modified>
  <cp:category/>
  <cp:version/>
  <cp:contentType/>
  <cp:contentStatus/>
</cp:coreProperties>
</file>